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cd-admin\data2\Engineering\Financial\CIP SDCs Rate Review\2024 SDC MODELS\"/>
    </mc:Choice>
  </mc:AlternateContent>
  <xr:revisionPtr revIDLastSave="0" documentId="13_ncr:1_{96B14CED-EDD5-4360-A252-AFFD13F38628}" xr6:coauthVersionLast="47" xr6:coauthVersionMax="47" xr10:uidLastSave="{00000000-0000-0000-0000-000000000000}"/>
  <bookViews>
    <workbookView xWindow="28680" yWindow="-120" windowWidth="29040" windowHeight="15840" activeTab="4" xr2:uid="{97C75F1B-FD93-498E-AED5-3D96CEEF69A3}"/>
  </bookViews>
  <sheets>
    <sheet name="SDC Per Meter Size" sheetId="5" r:id="rId1"/>
    <sheet name="Charge Analysis" sheetId="2" r:id="rId2"/>
    <sheet name="Planning Data" sheetId="1" r:id="rId3"/>
    <sheet name="Inventory of Current System" sheetId="3" r:id="rId4"/>
    <sheet name="CIP List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D352" i="3"/>
  <c r="F360" i="3" l="1"/>
  <c r="D360" i="3"/>
  <c r="E318" i="3"/>
  <c r="E313" i="3"/>
  <c r="E272" i="3"/>
  <c r="G53" i="4"/>
  <c r="W28" i="5"/>
  <c r="V28" i="5"/>
  <c r="E33" i="4"/>
  <c r="G10" i="4"/>
  <c r="E16" i="4"/>
  <c r="B26" i="2" l="1"/>
  <c r="E19" i="4"/>
  <c r="E18" i="4"/>
  <c r="C14" i="1"/>
  <c r="C16" i="1" s="1"/>
  <c r="C17" i="1" s="1"/>
  <c r="C7" i="1"/>
  <c r="C9" i="1" s="1"/>
  <c r="B27" i="2" s="1"/>
  <c r="B37" i="2" s="1"/>
  <c r="C43" i="1" l="1"/>
  <c r="E42" i="1"/>
  <c r="E41" i="1"/>
  <c r="E40" i="1"/>
  <c r="E39" i="1"/>
  <c r="E38" i="1"/>
  <c r="E37" i="1"/>
  <c r="D36" i="1"/>
  <c r="E36" i="1" s="1"/>
  <c r="E35" i="1"/>
  <c r="E34" i="1"/>
  <c r="D358" i="3"/>
  <c r="E43" i="1" l="1"/>
  <c r="B24" i="1"/>
  <c r="B25" i="1" s="1"/>
  <c r="B8" i="2" s="1"/>
  <c r="B28" i="2" l="1"/>
  <c r="B33" i="2" s="1"/>
  <c r="F350" i="3" l="1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352" i="3" s="1"/>
  <c r="F358" i="3" s="1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D46" i="4"/>
  <c r="C46" i="4"/>
  <c r="E41" i="4"/>
  <c r="G41" i="4" s="1"/>
  <c r="E44" i="4"/>
  <c r="E40" i="4"/>
  <c r="E39" i="4"/>
  <c r="E38" i="4"/>
  <c r="G38" i="4" s="1"/>
  <c r="E36" i="4"/>
  <c r="E35" i="4"/>
  <c r="E34" i="4"/>
  <c r="E32" i="4"/>
  <c r="G32" i="4" s="1"/>
  <c r="E31" i="4"/>
  <c r="E30" i="4"/>
  <c r="G30" i="4" s="1"/>
  <c r="E29" i="4"/>
  <c r="F29" i="4" s="1"/>
  <c r="E28" i="4"/>
  <c r="G28" i="4" s="1"/>
  <c r="E27" i="4"/>
  <c r="G27" i="4" s="1"/>
  <c r="E26" i="4"/>
  <c r="G26" i="4" s="1"/>
  <c r="E24" i="4"/>
  <c r="G24" i="4" s="1"/>
  <c r="E23" i="4"/>
  <c r="G23" i="4" s="1"/>
  <c r="E22" i="4"/>
  <c r="G22" i="4" s="1"/>
  <c r="E21" i="4"/>
  <c r="G21" i="4" s="1"/>
  <c r="E20" i="4"/>
  <c r="G20" i="4" s="1"/>
  <c r="G19" i="4"/>
  <c r="G18" i="4"/>
  <c r="E17" i="4"/>
  <c r="G17" i="4" s="1"/>
  <c r="G16" i="4"/>
  <c r="E15" i="4"/>
  <c r="G15" i="4" s="1"/>
  <c r="E14" i="4"/>
  <c r="G14" i="4" s="1"/>
  <c r="E12" i="4"/>
  <c r="E11" i="4"/>
  <c r="E9" i="4"/>
  <c r="G9" i="4" s="1"/>
  <c r="E8" i="4"/>
  <c r="E7" i="4"/>
  <c r="E6" i="4"/>
  <c r="G6" i="4" s="1"/>
  <c r="E5" i="4"/>
  <c r="E4" i="4"/>
  <c r="B16" i="1"/>
  <c r="B17" i="1" s="1"/>
  <c r="B9" i="1"/>
  <c r="B4" i="2" s="1"/>
  <c r="B16" i="2" s="1"/>
  <c r="E42" i="4" l="1"/>
  <c r="B5" i="2"/>
  <c r="G34" i="4"/>
  <c r="G8" i="4"/>
  <c r="G12" i="4"/>
  <c r="G7" i="4"/>
  <c r="G11" i="4"/>
  <c r="G31" i="4"/>
  <c r="G33" i="4"/>
  <c r="G35" i="4"/>
  <c r="E46" i="4"/>
  <c r="G44" i="4"/>
  <c r="G46" i="4" s="1"/>
  <c r="B36" i="2" s="1"/>
  <c r="B38" i="2" s="1"/>
  <c r="B39" i="2" s="1"/>
  <c r="B41" i="2" s="1"/>
  <c r="C20" i="5" s="1"/>
  <c r="C27" i="5" l="1"/>
  <c r="C23" i="5"/>
  <c r="C22" i="5"/>
  <c r="C26" i="5"/>
  <c r="C25" i="5"/>
  <c r="C21" i="5"/>
  <c r="C28" i="5"/>
  <c r="C24" i="5"/>
  <c r="B10" i="2"/>
  <c r="G36" i="4" l="1"/>
  <c r="G40" i="4"/>
  <c r="G5" i="4"/>
  <c r="G37" i="4"/>
  <c r="G4" i="4"/>
  <c r="G39" i="4"/>
  <c r="G42" i="4" l="1"/>
  <c r="G51" i="4" s="1"/>
  <c r="B15" i="2" l="1"/>
  <c r="B17" i="2" s="1"/>
  <c r="B18" i="2" s="1"/>
  <c r="B20" i="2" s="1"/>
  <c r="C5" i="5" s="1"/>
  <c r="C13" i="5" l="1"/>
  <c r="C7" i="5"/>
  <c r="C9" i="5"/>
  <c r="C10" i="5"/>
  <c r="C12" i="5"/>
  <c r="C6" i="5"/>
  <c r="C11" i="5"/>
  <c r="C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Kaaren Hofmann</author>
  </authors>
  <commentList>
    <comment ref="B3" authorId="0" shapeId="0" xr:uid="{F0F8E95F-FB84-4C45-B73A-883CC3C06F3F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Cost of infrastruction already constructed in the City
</t>
        </r>
      </text>
    </comment>
    <comment ref="B4" authorId="0" shapeId="0" xr:uid="{BB230536-37C2-4A6D-AEA9-5FFB4B9036A1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Additional amount of water needed for future growth (mgd)</t>
        </r>
      </text>
    </comment>
    <comment ref="B5" authorId="0" shapeId="0" xr:uid="{21BCD6EA-6A63-43ED-8587-37AFF1B73A4A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Cost/mgd</t>
        </r>
      </text>
    </comment>
    <comment ref="B8" authorId="0" shapeId="0" xr:uid="{FB422AA9-06A1-441E-8812-66D2518068A5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Amount of water that can flow through a 3/4" meter</t>
        </r>
      </text>
    </comment>
    <comment ref="B10" authorId="0" shapeId="0" xr:uid="{6241DDAE-61EE-4750-8EF8-29CACBF7CE1E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Unit cost divided by the capacity per EDU</t>
        </r>
      </text>
    </comment>
    <comment ref="B15" authorId="0" shapeId="0" xr:uid="{4E775886-6857-4914-9889-106D486EEE23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Capital Improvement Costs needed to serve full buildout of the City - Existing Reserves</t>
        </r>
      </text>
    </comment>
    <comment ref="B16" authorId="0" shapeId="0" xr:uid="{E6A0B6A7-2D92-49B8-9EDE-9C237CAD82A5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Amount additional water needed for full buildout of the City (mgd)</t>
        </r>
      </text>
    </comment>
    <comment ref="B17" authorId="0" shapeId="0" xr:uid="{914A35C7-F256-4FEF-8CEB-3B93F1B34EA9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Unit cost per mgd</t>
        </r>
      </text>
    </comment>
    <comment ref="B18" authorId="0" shapeId="0" xr:uid="{53871D18-2F3A-4E67-82D7-C96B768CFF97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Unit cost divided by the capacity of a 3/4" meter</t>
        </r>
      </text>
    </comment>
    <comment ref="B20" authorId="0" shapeId="0" xr:uid="{93F72B80-E74F-4066-8738-C84274D0F6BD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Reimbursement + Improvement per EDU</t>
        </r>
      </text>
    </comment>
    <comment ref="B26" authorId="0" shapeId="0" xr:uid="{581ADD44-0BC8-4DAE-82BA-5067559A894B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Cost of infrastructure already constructed in the City</t>
        </r>
      </text>
    </comment>
    <comment ref="B27" authorId="0" shapeId="0" xr:uid="{4C699548-9FAB-4CBE-B408-908BD50583C3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Additional non-potable water needed at full buildout of the City (mgd)</t>
        </r>
      </text>
    </comment>
    <comment ref="B28" authorId="0" shapeId="0" xr:uid="{4F3B4685-34CD-40F4-A324-263F727A8B44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Unit cost per additional mgd of non-potable water</t>
        </r>
      </text>
    </comment>
    <comment ref="B31" authorId="0" shapeId="0" xr:uid="{E5482B76-8979-4F5E-8732-9768CD8ADC9F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The amount of water that can flow through a 3/4" meter (EDU)</t>
        </r>
      </text>
    </comment>
    <comment ref="B33" authorId="0" shapeId="0" xr:uid="{09C3634D-73C7-4922-A5AC-E36E20758C2F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Unit cost divided by the capacity of a 3/4" meter</t>
        </r>
      </text>
    </comment>
    <comment ref="B36" authorId="0" shapeId="0" xr:uid="{32020876-7433-4BDF-A7A1-3F04E887979C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Captial Improvement costs needed to serve full buildout of the City</t>
        </r>
      </text>
    </comment>
    <comment ref="B37" authorId="0" shapeId="0" xr:uid="{EF535518-E977-4B85-883E-CC2FE2022E4C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Additional amoutn of non-potable water needed to serve full buildout of the City</t>
        </r>
      </text>
    </comment>
    <comment ref="B38" authorId="0" shapeId="0" xr:uid="{5F3B31CA-96C3-41E9-BFC1-AEF97F3D989F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Unit cost per needed water for growth</t>
        </r>
      </text>
    </comment>
    <comment ref="B39" authorId="0" shapeId="0" xr:uid="{E268A2F5-290B-49A9-AB5A-DF139561010D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Unit cost divided by the capacity of the 3/4" meter</t>
        </r>
      </text>
    </comment>
    <comment ref="B41" authorId="0" shapeId="0" xr:uid="{B9FAD22D-D6B1-4B14-9D9E-4B098C84D12C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Reimburement + Improvement costs per EDU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 Galardi</author>
  </authors>
  <commentList>
    <comment ref="F11" authorId="0" shapeId="0" xr:uid="{65A1579B-7D8A-40B0-A560-D3AD10BE355F}">
      <text>
        <r>
          <rPr>
            <b/>
            <sz val="9"/>
            <color indexed="81"/>
            <rFont val="Tahoma"/>
            <family val="2"/>
          </rPr>
          <t>Deb Galardi:</t>
        </r>
        <r>
          <rPr>
            <sz val="9"/>
            <color indexed="81"/>
            <rFont val="Tahoma"/>
            <family val="2"/>
          </rPr>
          <t xml:space="preserve">
Improvements in Z1 only</t>
        </r>
      </text>
    </comment>
    <comment ref="B12" authorId="0" shapeId="0" xr:uid="{0E3277EC-AF56-4236-A31F-332A32442772}">
      <text>
        <r>
          <rPr>
            <b/>
            <sz val="9"/>
            <color indexed="81"/>
            <rFont val="Tahoma"/>
            <family val="2"/>
          </rPr>
          <t>Deb Galardi:</t>
        </r>
        <r>
          <rPr>
            <sz val="9"/>
            <color indexed="81"/>
            <rFont val="Tahoma"/>
            <family val="2"/>
          </rPr>
          <t xml:space="preserve">
date from 2019 rate study cip</t>
        </r>
      </text>
    </comment>
    <comment ref="F41" authorId="0" shapeId="0" xr:uid="{4095160D-1EAE-4642-8216-15BA34EC7783}">
      <text>
        <r>
          <rPr>
            <b/>
            <sz val="9"/>
            <color indexed="81"/>
            <rFont val="Tahoma"/>
            <family val="2"/>
          </rPr>
          <t>Deb Galardi:</t>
        </r>
        <r>
          <rPr>
            <sz val="9"/>
            <color indexed="81"/>
            <rFont val="Tahoma"/>
            <family val="2"/>
          </rPr>
          <t xml:space="preserve">
Per Kaaren</t>
        </r>
      </text>
    </comment>
  </commentList>
</comments>
</file>

<file path=xl/sharedStrings.xml><?xml version="1.0" encoding="utf-8"?>
<sst xmlns="http://schemas.openxmlformats.org/spreadsheetml/2006/main" count="860" uniqueCount="464">
  <si>
    <t>Future</t>
  </si>
  <si>
    <t>Growth</t>
  </si>
  <si>
    <t>Capacity</t>
  </si>
  <si>
    <t>Available Capacity</t>
  </si>
  <si>
    <t>Percentage</t>
  </si>
  <si>
    <t>EDU Capacity Requirements</t>
  </si>
  <si>
    <t>MDD per EDU</t>
  </si>
  <si>
    <t>Category</t>
  </si>
  <si>
    <t>Description of Asset</t>
  </si>
  <si>
    <t>Installed</t>
  </si>
  <si>
    <t>Costs</t>
  </si>
  <si>
    <t>Project</t>
  </si>
  <si>
    <t>0-5 Years</t>
  </si>
  <si>
    <t>5-10 Years</t>
  </si>
  <si>
    <t>10-20 Years</t>
  </si>
  <si>
    <t>Cost Estimate</t>
  </si>
  <si>
    <t>Total</t>
  </si>
  <si>
    <t>Unit Cost</t>
  </si>
  <si>
    <t>Capacity per EDU</t>
  </si>
  <si>
    <t>Reimbursement $/EDU</t>
  </si>
  <si>
    <t>2 mgd redundant supply development</t>
  </si>
  <si>
    <t>In design only</t>
  </si>
  <si>
    <t>Seismic resilience - add emergency conection and controls at  existing WTP</t>
  </si>
  <si>
    <t xml:space="preserve">Subtotal </t>
  </si>
  <si>
    <t>Bell East Pump Station - Zone 3 constant pressure</t>
  </si>
  <si>
    <t>Bell West Pump Station - Zone 2 constant pressure; mains Bell West P.S. to Veritas School M-14, M-15</t>
  </si>
  <si>
    <t>Seismic resilience - N. Valley Reservoirs hydraulic control valves &amp; site piping</t>
  </si>
  <si>
    <t>Upsize existing mains; construct new distribution loops to improve fire flow capacity</t>
  </si>
  <si>
    <t>M6 complete</t>
  </si>
  <si>
    <t>NE Zimri Drive Zone 3  distribution backbone within UGB</t>
  </si>
  <si>
    <t>IBTER Fire Flow improvements for increased density</t>
  </si>
  <si>
    <t>Upsize existing 6-inch mains to 8-inch mains on S Main, S Lincoln, W 4th, W 5th Streets</t>
  </si>
  <si>
    <t>Upsize existing 4- and 6-inch mains to 12-inch mains on S Blaine Street</t>
  </si>
  <si>
    <t>Upsize existing 6-inch main to 8-inch main in S College Street north of E 9th Street</t>
  </si>
  <si>
    <t>Upsize existing 6-inch mains to 12-inch mains in E 9th Street, Charles Street, and S College Street</t>
  </si>
  <si>
    <t>Upsize existing 6-inch main to 8-inch main in S Meridian Street north of E 5th Street</t>
  </si>
  <si>
    <t>Upsize existing 6-inch main to 12-inch main in S Meridian Street</t>
  </si>
  <si>
    <t>Upsize existing 4- and 6-inch mains to 12-inch mains in E 7th Street, S Pacific Street, E 9th Street, and Paradise Drive</t>
  </si>
  <si>
    <t>Upsize existing 6-inch mains to 12-inch mains in S River Street</t>
  </si>
  <si>
    <t>Upsize existing 6-inch mains to 12-inch mains in E 5th Street</t>
  </si>
  <si>
    <t>Upsize existing 6-inch main to 8-inch main from E 11th Street to the Boston Square Apartments</t>
  </si>
  <si>
    <t>Upsize existing 6-inch main to 8-inch main in Vermillion Street</t>
  </si>
  <si>
    <t>New water mains to serve future development in Riverfront area</t>
  </si>
  <si>
    <t>Upsize existing 6-inch S College St main to 8-inch main to serve future Riverfront development</t>
  </si>
  <si>
    <t>Upsize existing 6-inch River and 11th St mains to 12-inch mains to serve future Riverfront development</t>
  </si>
  <si>
    <t xml:space="preserve">Seismic resilience - cast iron and concrete pipe replacement </t>
  </si>
  <si>
    <t>Chehalem Drive water system extension west and north to Columbia Drive</t>
  </si>
  <si>
    <t>N College Street - N Terrace Street - Bell West P.S. - Veritas School</t>
  </si>
  <si>
    <t>Included w/Bell West</t>
  </si>
  <si>
    <t>College Street WL to Mountain View</t>
  </si>
  <si>
    <t>1.7 MG Bell Road Reservoir - Zone 3</t>
  </si>
  <si>
    <t>Zimri Dr. E transmission main to Bell Rd Reservoir</t>
  </si>
  <si>
    <t>Bell Rd W transmission main - N College Street to Zimri Dr.</t>
  </si>
  <si>
    <t>Complete</t>
  </si>
  <si>
    <t>Water Management &amp; Conservation Plan update</t>
  </si>
  <si>
    <t>Water System Master Plan update</t>
  </si>
  <si>
    <t>SDC Study</t>
  </si>
  <si>
    <t>AWIA Risk &amp; Resilience Assessment</t>
  </si>
  <si>
    <t>Seismic resilience planning</t>
  </si>
  <si>
    <t>Other</t>
  </si>
  <si>
    <t>North non-potable water line and Otis Springs pumping improvements</t>
  </si>
  <si>
    <t>Public Works Maintenance Facility Master Plan</t>
  </si>
  <si>
    <t>Subtotal</t>
  </si>
  <si>
    <t>Equipment</t>
  </si>
  <si>
    <t>WTP Backwash Pond Pump - 4" Flyght Pump</t>
  </si>
  <si>
    <t xml:space="preserve">6 Ton WTP Heat Pump </t>
  </si>
  <si>
    <t>100 KW Emergency Generator - Well #6</t>
  </si>
  <si>
    <t>Buildings &amp; Improvements</t>
  </si>
  <si>
    <t>Well 9 Design and Construction</t>
  </si>
  <si>
    <t>N Valley Road Reservoir Upgrades</t>
  </si>
  <si>
    <t>Infrastructure</t>
  </si>
  <si>
    <t>South Springbrook (Bypass) (water lines)</t>
  </si>
  <si>
    <t>Camera Package at Well Field 2</t>
  </si>
  <si>
    <t>WTP HypoChlorite Generator</t>
  </si>
  <si>
    <t>Rotork Actuator Filter 5 Efficiency Valve IQTM500</t>
  </si>
  <si>
    <t xml:space="preserve">24" Butterfly Valve @ Wellfield </t>
  </si>
  <si>
    <t>WTP Gate Access Control</t>
  </si>
  <si>
    <t>Well # 7 Pump</t>
  </si>
  <si>
    <t>Hypochlorite Tank 1 (WTP)</t>
  </si>
  <si>
    <t>Hypochlorite Chemical Dosing Pump</t>
  </si>
  <si>
    <t>PWA Building - 500 W 3rd St</t>
  </si>
  <si>
    <t>PWM Storage Building #3 Roof/Siding Replace</t>
  </si>
  <si>
    <t>PWM Yard Gate / Fencing</t>
  </si>
  <si>
    <t>Trak-IT SoftWare</t>
  </si>
  <si>
    <t>HVAC Roof Top Unit (WTP VFD Pump Room)</t>
  </si>
  <si>
    <t>Install Light Pole and West End Gate Opener @ PWM Yard</t>
  </si>
  <si>
    <t>CIP</t>
  </si>
  <si>
    <t>Bell West Pump Station</t>
  </si>
  <si>
    <t>Chehalem Water Extension</t>
  </si>
  <si>
    <t>Crestview Waterline - Non-potable</t>
  </si>
  <si>
    <t>Crestview Waterline - Potable</t>
  </si>
  <si>
    <t>Fireflow Improvements - GFU</t>
  </si>
  <si>
    <t>Fireflow Improvements - W Illinois</t>
  </si>
  <si>
    <t>Fixed Base Radio Read System</t>
  </si>
  <si>
    <t>PWM Building C - Office Space Addition</t>
  </si>
  <si>
    <t>Columbia Estates Developer Contributed</t>
  </si>
  <si>
    <t>Dutchman 2 Developer Contributed</t>
  </si>
  <si>
    <t>Dutchman Developer Contributed</t>
  </si>
  <si>
    <t>Gracie's 1, 2, and 3 Developer Contributed</t>
  </si>
  <si>
    <t>Hazelwood Developer Contributed</t>
  </si>
  <si>
    <t>Highland at Hess Creek Phase 4 &amp; 5 Developer Contributed</t>
  </si>
  <si>
    <t>Kings Landing 2 Developer Contributed</t>
  </si>
  <si>
    <t>Nova Grace Developer Contributed</t>
  </si>
  <si>
    <t>Page Landing Developer Contributed</t>
  </si>
  <si>
    <t>River Run 1 &amp; 2 Developer Contributed</t>
  </si>
  <si>
    <t>River Run 1 &amp; 2 Off Site Developer Contributed</t>
  </si>
  <si>
    <t>Shellie Park Developer Contributed</t>
  </si>
  <si>
    <t>Land</t>
  </si>
  <si>
    <t>Well  Site 4</t>
  </si>
  <si>
    <t>Well Sites 1,2,3</t>
  </si>
  <si>
    <t>Reynolds Spring</t>
  </si>
  <si>
    <t>Otis Spring</t>
  </si>
  <si>
    <t>Skelton Spring</t>
  </si>
  <si>
    <t>Water Trmnt</t>
  </si>
  <si>
    <t>Reservoir Site</t>
  </si>
  <si>
    <t>Dump Truck 1</t>
  </si>
  <si>
    <t>Flusher</t>
  </si>
  <si>
    <t>Motor Well 1</t>
  </si>
  <si>
    <t>Chlorinator (stored)</t>
  </si>
  <si>
    <t>Truck-Dump</t>
  </si>
  <si>
    <t>Compactor</t>
  </si>
  <si>
    <t>Jack Hammer</t>
  </si>
  <si>
    <t>Trailer 77-918</t>
  </si>
  <si>
    <t>Effluent Valve</t>
  </si>
  <si>
    <t>Elect Measure Tape WTP Rsvr</t>
  </si>
  <si>
    <t>Pump-Vertical 1</t>
  </si>
  <si>
    <t>Pump 3</t>
  </si>
  <si>
    <t>Pump-Vertical 2</t>
  </si>
  <si>
    <t>Flow Monitoring Sys Well 1,2,5,6</t>
  </si>
  <si>
    <t>Pipe Cutter</t>
  </si>
  <si>
    <t>Power Threader</t>
  </si>
  <si>
    <t>Pump-Vertical 3</t>
  </si>
  <si>
    <t>Pump-Submersible Well 1</t>
  </si>
  <si>
    <t>Valve 1</t>
  </si>
  <si>
    <t>Pump-Submersible Well 4</t>
  </si>
  <si>
    <t>Pump-Submersible Well 5</t>
  </si>
  <si>
    <t>Tool</t>
  </si>
  <si>
    <t>Pump-submersible Well 6</t>
  </si>
  <si>
    <t>Valve-effluent</t>
  </si>
  <si>
    <t>Pump-vertical 4</t>
  </si>
  <si>
    <t>Pump-submersible Well 5</t>
  </si>
  <si>
    <t>WTP Piping-Mix</t>
  </si>
  <si>
    <t>WTP Piping-Pump</t>
  </si>
  <si>
    <t>Plant Piping-Otis</t>
  </si>
  <si>
    <t>Backwash Settling</t>
  </si>
  <si>
    <t>Water Treat Facility</t>
  </si>
  <si>
    <t>Sedimentation Basin</t>
  </si>
  <si>
    <t>Well 4</t>
  </si>
  <si>
    <t>Well 3</t>
  </si>
  <si>
    <t>Reservoir 1</t>
  </si>
  <si>
    <t>Bridge</t>
  </si>
  <si>
    <t>Reservoir 3</t>
  </si>
  <si>
    <t>Filter Basin Addition</t>
  </si>
  <si>
    <t>Well 6</t>
  </si>
  <si>
    <t>Filter Basin</t>
  </si>
  <si>
    <t>Reservoir 2</t>
  </si>
  <si>
    <t>Otis Springs Fencing</t>
  </si>
  <si>
    <t>Paving, fencing</t>
  </si>
  <si>
    <t>Chlorine Bldg/Resvr</t>
  </si>
  <si>
    <t>Pump House</t>
  </si>
  <si>
    <t>Well 5</t>
  </si>
  <si>
    <t>FY 89-90 Water Lines</t>
  </si>
  <si>
    <t>FY 34-35 Water Lines</t>
  </si>
  <si>
    <t>FY 77-78 Water Lines</t>
  </si>
  <si>
    <t>FY 70-71 Water Lines</t>
  </si>
  <si>
    <t>FY 76-77 Water Lines</t>
  </si>
  <si>
    <t>FY 72-73 Water Lines</t>
  </si>
  <si>
    <t>FY 75-76 Water Lines</t>
  </si>
  <si>
    <t>FY 91-92 Water Lines</t>
  </si>
  <si>
    <t>FY 74-75 Water Lines</t>
  </si>
  <si>
    <t>FY 90-91 Water Lines</t>
  </si>
  <si>
    <t>FY 73-74 Water Lines</t>
  </si>
  <si>
    <t>FY 86-87 Water Lines</t>
  </si>
  <si>
    <t>FY 61-62 Water Lines</t>
  </si>
  <si>
    <t>FY 79-80 Water Lines</t>
  </si>
  <si>
    <t>FY 80-81 Water Lines</t>
  </si>
  <si>
    <t>FY 78-79 Water Lines</t>
  </si>
  <si>
    <t>FY 69-70 Water Lines</t>
  </si>
  <si>
    <t>FY 68-69 Water Lines</t>
  </si>
  <si>
    <t>FY 88-89 Water Lines</t>
  </si>
  <si>
    <t>Oliver Spring 1896</t>
  </si>
  <si>
    <t>01/01/1896</t>
  </si>
  <si>
    <t>Snyder Spring</t>
  </si>
  <si>
    <t>Level Indicator-water</t>
  </si>
  <si>
    <t>Oliver Spring-Bell Rd</t>
  </si>
  <si>
    <t>Well sites</t>
  </si>
  <si>
    <t>FY 92-93 Water lines</t>
  </si>
  <si>
    <t>Well 4-Rehabilitation</t>
  </si>
  <si>
    <t>Chlorine Rm Doors</t>
  </si>
  <si>
    <t>Valve 2</t>
  </si>
  <si>
    <t>Valve 3</t>
  </si>
  <si>
    <t>Addition-Valeri Park Water Lines</t>
  </si>
  <si>
    <t>Well 2</t>
  </si>
  <si>
    <t>Meter Reading Syst</t>
  </si>
  <si>
    <t>FY 93-94 Water Lines</t>
  </si>
  <si>
    <t>Snyder Springs Chain Link Fencing</t>
  </si>
  <si>
    <t>FY 94-95 Water Lines</t>
  </si>
  <si>
    <t>Meter Rdg-upgrade</t>
  </si>
  <si>
    <t>Well Sites 5 &amp; 6</t>
  </si>
  <si>
    <t>Well Site 7</t>
  </si>
  <si>
    <t>Truck 96-926</t>
  </si>
  <si>
    <t>FY 95-96 Water Lines</t>
  </si>
  <si>
    <t>Motor Control-Well 1 &amp; 2</t>
  </si>
  <si>
    <t>Reynolds Springs Chain Link Fencing</t>
  </si>
  <si>
    <t>Inverter</t>
  </si>
  <si>
    <t>Radio-portable 1</t>
  </si>
  <si>
    <t>Radio-portable 2</t>
  </si>
  <si>
    <t>Radio-portable 3</t>
  </si>
  <si>
    <t>Radio-portable 4</t>
  </si>
  <si>
    <t>Radio-portable 5</t>
  </si>
  <si>
    <t>Radio-portable 6</t>
  </si>
  <si>
    <t>Radio-portable 7</t>
  </si>
  <si>
    <t>Valves-Disc check</t>
  </si>
  <si>
    <t>Trash Pump</t>
  </si>
  <si>
    <t>Well 4 Upgrades</t>
  </si>
  <si>
    <t>WTP 97-98</t>
  </si>
  <si>
    <t>Variable Speed Drv</t>
  </si>
  <si>
    <t>Well Field 97-98</t>
  </si>
  <si>
    <t>FY 97-98 Water Lines</t>
  </si>
  <si>
    <t>Portable Radio 1</t>
  </si>
  <si>
    <t>Portable Radio 2</t>
  </si>
  <si>
    <t>Pressure Transmitter</t>
  </si>
  <si>
    <t>Exhaust Fans</t>
  </si>
  <si>
    <t>FY 1998-99 Water Lines</t>
  </si>
  <si>
    <t>Water Plant Improvements 1998-99</t>
  </si>
  <si>
    <t>Dump Truck 2</t>
  </si>
  <si>
    <t>Power Drive</t>
  </si>
  <si>
    <t>Handheld Meter Reader</t>
  </si>
  <si>
    <t>Data Link Cards 1</t>
  </si>
  <si>
    <t>Data Link Cards 2</t>
  </si>
  <si>
    <t>Grating/Handrail</t>
  </si>
  <si>
    <t>Ladder &amp; Catwalk</t>
  </si>
  <si>
    <t>Monorail Modifications</t>
  </si>
  <si>
    <t>FY 99-00 Water Lines</t>
  </si>
  <si>
    <t>Roller</t>
  </si>
  <si>
    <t>Well #4 Upgrades</t>
  </si>
  <si>
    <t>Well #4 Pump</t>
  </si>
  <si>
    <t>Storage Container</t>
  </si>
  <si>
    <t>Tractor Mower 00-307</t>
  </si>
  <si>
    <t>Variable Frequency Drive Well 4</t>
  </si>
  <si>
    <t>Variable Frequency Drive Well 5-1</t>
  </si>
  <si>
    <t>FY 00-01 Water Lines</t>
  </si>
  <si>
    <t>Wellfield Cable</t>
  </si>
  <si>
    <t>East Reservoir Land</t>
  </si>
  <si>
    <t>Variable Freq Drive</t>
  </si>
  <si>
    <t>Submersible Pump Well 6</t>
  </si>
  <si>
    <t>Truck 921-96</t>
  </si>
  <si>
    <t>Well #4 Motor</t>
  </si>
  <si>
    <t>Well #6 Motor</t>
  </si>
  <si>
    <t>Water Tank-Flusher</t>
  </si>
  <si>
    <t>Polymer Mixer 1</t>
  </si>
  <si>
    <t>Polymer Mixer 2</t>
  </si>
  <si>
    <t>Effluent Pump #1</t>
  </si>
  <si>
    <t>WTP Flowmeter Replacement</t>
  </si>
  <si>
    <t>WTP Roof Repair</t>
  </si>
  <si>
    <t>WTP Control Room</t>
  </si>
  <si>
    <t>Brutscher/Main Valve Replace</t>
  </si>
  <si>
    <t>FY 01-02 Water Lines</t>
  </si>
  <si>
    <t>Well #7</t>
  </si>
  <si>
    <t>Variable Frequency Drive Well 5-2</t>
  </si>
  <si>
    <t>CPU Upgrade</t>
  </si>
  <si>
    <t>Tractor/Mower 356-03</t>
  </si>
  <si>
    <t>FY 02-03 Water Lines</t>
  </si>
  <si>
    <t>Blower w/building 1</t>
  </si>
  <si>
    <t>Blower w/building 2</t>
  </si>
  <si>
    <t>Underdrains</t>
  </si>
  <si>
    <t>Sodium Hydroxide Building</t>
  </si>
  <si>
    <t>Pipe Gallery</t>
  </si>
  <si>
    <t xml:space="preserve">Filter #1_x000D_
</t>
  </si>
  <si>
    <t>Filter #2</t>
  </si>
  <si>
    <t>Filter #3</t>
  </si>
  <si>
    <t>Filter #4</t>
  </si>
  <si>
    <t>WTP Land Improvements</t>
  </si>
  <si>
    <t>FY 98-99 Developer Water Lines</t>
  </si>
  <si>
    <t>FY 99-00 Developer Water Lines</t>
  </si>
  <si>
    <t>FY 00-01 Developer Water Lines</t>
  </si>
  <si>
    <t>FY 01-02 Developer Water Lines</t>
  </si>
  <si>
    <t>Steel Blade/Hydraulic #512-04</t>
  </si>
  <si>
    <t>Pump-Well #4</t>
  </si>
  <si>
    <t>Ditch Witch</t>
  </si>
  <si>
    <t>1995 Dump Truck</t>
  </si>
  <si>
    <t>FY 03-04 City Water Lines</t>
  </si>
  <si>
    <t>FY 03-04 Developer Water Lines</t>
  </si>
  <si>
    <t>Pickup 103-04</t>
  </si>
  <si>
    <t>2004 Ford Pickup</t>
  </si>
  <si>
    <t>Pickup 908-04</t>
  </si>
  <si>
    <t>Alarm System</t>
  </si>
  <si>
    <t>FY 2004-05 City Water Lines</t>
  </si>
  <si>
    <t>FY 2004-05 Developer Water Lines</t>
  </si>
  <si>
    <t>Reservoir-Corral Creek</t>
  </si>
  <si>
    <t>Fork Lift</t>
  </si>
  <si>
    <t>Bucket Truck  933-96</t>
  </si>
  <si>
    <t>Folder/Inserter</t>
  </si>
  <si>
    <t>Power Panel at Otis Springs</t>
  </si>
  <si>
    <t>2006 Dodge Durango</t>
  </si>
  <si>
    <t>FY 2005-06 City Water Lines</t>
  </si>
  <si>
    <t>FY 2005-06 Developer Water Lines</t>
  </si>
  <si>
    <t>Otis Springs Electrical Upgrade</t>
  </si>
  <si>
    <t>WTP Security Camera System</t>
  </si>
  <si>
    <t>Otis Springs Water Line</t>
  </si>
  <si>
    <t>Water Line Oversizing 2006-07</t>
  </si>
  <si>
    <t>Otis Springs Flow Meter</t>
  </si>
  <si>
    <t>FY 2006-07 Developer Water Lines</t>
  </si>
  <si>
    <t>2008 Ford F450 941-08</t>
  </si>
  <si>
    <t>2008 Ford 3/4 ton PU vehicle No. 942-08</t>
  </si>
  <si>
    <t>Wireless bridge WTP</t>
  </si>
  <si>
    <t>Pump and Motor for Well #2</t>
  </si>
  <si>
    <t>Parallel River Line</t>
  </si>
  <si>
    <t>Well #8</t>
  </si>
  <si>
    <t>Water Line-N Arterial S-Curve</t>
  </si>
  <si>
    <t>WTP Expansion</t>
  </si>
  <si>
    <t>2007-08 Developer Contributed Water Lines</t>
  </si>
  <si>
    <t>City-Wide Wireless Network-Water</t>
  </si>
  <si>
    <t>New key system for Operations Bldg/Stat</t>
  </si>
  <si>
    <t>Cell casing for sodium hypochlorite gen</t>
  </si>
  <si>
    <t>Alice Way LID Water Lines</t>
  </si>
  <si>
    <t>Effluent Reuse Facility-Water</t>
  </si>
  <si>
    <t>Effluent Reuse Pipelines-Water</t>
  </si>
  <si>
    <t>Effluent Reuse Membrane-Water</t>
  </si>
  <si>
    <t>2008-09 Developer Contributed Water Lines</t>
  </si>
  <si>
    <t>Engineering Server</t>
  </si>
  <si>
    <t>Spring Improvements</t>
  </si>
  <si>
    <t>Wellfield Fencing &amp; Security-FEDERAL GRANT</t>
  </si>
  <si>
    <t>Caterpillar 0420ECDJL02063</t>
  </si>
  <si>
    <t>Caterpillar 040ECDJL02046</t>
  </si>
  <si>
    <t>Gravely Pro-Turn 48" mower w/mulch &amp; striper kit</t>
  </si>
  <si>
    <t>Wellfield Control Building Well #3</t>
  </si>
  <si>
    <t>Heat Pump Well #3</t>
  </si>
  <si>
    <t>Water Lines 2011-12 (City)</t>
  </si>
  <si>
    <t>Snider Springs Electrical Panel</t>
  </si>
  <si>
    <t>2013 Chevy PU #952-13</t>
  </si>
  <si>
    <t>2014 Ford PU #953-13</t>
  </si>
  <si>
    <t>2014 Chev Pickup (Veh#638-14)</t>
  </si>
  <si>
    <t>Furniture</t>
  </si>
  <si>
    <t>Cisco/Smartnet Network</t>
  </si>
  <si>
    <t>2015 Chevy Silverado 409-15</t>
  </si>
  <si>
    <t>2015 Ford C-Max Hybrid</t>
  </si>
  <si>
    <t>2015 Ford F450 #955-15</t>
  </si>
  <si>
    <t>Knapheide Dump Body for #955-15</t>
  </si>
  <si>
    <t>2013 Hitachi Excavator #956-13</t>
  </si>
  <si>
    <t>Submersible Pump Well #4</t>
  </si>
  <si>
    <t xml:space="preserve">Vivax Video Inspec Camera </t>
  </si>
  <si>
    <t xml:space="preserve">520 W 3rd St - Building </t>
  </si>
  <si>
    <t>520 W 3rd St - Land</t>
  </si>
  <si>
    <t>Wynooski-Riverfront Utilities</t>
  </si>
  <si>
    <t>College Street Relocation</t>
  </si>
  <si>
    <t>Well 8 Upsizing</t>
  </si>
  <si>
    <t>Canon IPF785 MFP Wide Format Plotter</t>
  </si>
  <si>
    <t>Yaskawa Chassis Pump #3</t>
  </si>
  <si>
    <t>Cargo Mate Trailer Model BL716TA2</t>
  </si>
  <si>
    <t>2016 Chevrolet 3/4 Ton Chasis Veh# 958-16</t>
  </si>
  <si>
    <t>Pro Cut PFM 9.2 DRO Brake Lathe</t>
  </si>
  <si>
    <t>2017 Chevy Trax LT SUV Veh# 411-17</t>
  </si>
  <si>
    <t>Sander Spreader Truck Equipment</t>
  </si>
  <si>
    <t>2018 Chevy Silverado Veh 550-18</t>
  </si>
  <si>
    <t>2018 Chevy Silverado Pickup Veh 959-18</t>
  </si>
  <si>
    <t>2018 Ford Chassis Veh# 960-18</t>
  </si>
  <si>
    <t>2018 Ford Explorer Veh 961-18</t>
  </si>
  <si>
    <t>2018 Ford Explorer Veh 962-18</t>
  </si>
  <si>
    <t>2019 Chevrolet Colorado Cab  Veh# 916-19</t>
  </si>
  <si>
    <t>Body w/ Canopy for Veh# 960-18 Ford F550 Chasis</t>
  </si>
  <si>
    <t>2019 Chevrolet Silverado PU  Veh# 964-19</t>
  </si>
  <si>
    <t>2019 Ford Escape Veh# 963-19</t>
  </si>
  <si>
    <t>2019 Chev Silverado Veh# 640-19</t>
  </si>
  <si>
    <t>Carte'graph Systems Inc. Software</t>
  </si>
  <si>
    <t>Matrix Variable Message Reader Board Veh #967-19</t>
  </si>
  <si>
    <t>2020 Ford Explorer Veh #412-20</t>
  </si>
  <si>
    <t>2020 Chevy Colorado Extended Cab 2WD PU Veh #968-20</t>
  </si>
  <si>
    <t>2020 Chevy Silverado C250 4x4 Veh #965-20</t>
  </si>
  <si>
    <t>Hydraulic Compactor for Existing CAT Backhoes Veh #971-20</t>
  </si>
  <si>
    <t>2020 Chevy Silverado 3500 Veh #970-20</t>
  </si>
  <si>
    <t>All Weather Canopy - PSB Carport Structure</t>
  </si>
  <si>
    <t>2020 Chev ColoradoExtended Cab 2x4 Veh #974-20</t>
  </si>
  <si>
    <t>2020 Ford Transit Cargo Van Veh# 529-20</t>
  </si>
  <si>
    <t>2020 Ford Transit Cargo Van 350 Veh# 975-20</t>
  </si>
  <si>
    <t>VFP Pump Motor Controller for Well 7</t>
  </si>
  <si>
    <t>2021 CASE 570 Tractor Veh# 925-21</t>
  </si>
  <si>
    <t>Rehabilitation of Well #8</t>
  </si>
  <si>
    <t>16TL 22ft Tilt Bed Trailer Veh# 966-19</t>
  </si>
  <si>
    <t>Freightliner Demo Sewer Vactor Truck Veh# 504-20</t>
  </si>
  <si>
    <t>2021 Chevy Solverado w/ Durabull Truck Bed Veh 638-21</t>
  </si>
  <si>
    <t>Variable Message Board SMC4000</t>
  </si>
  <si>
    <t>Sodium Hypochlorite Tank #2 @ WTP</t>
  </si>
  <si>
    <t>Sodium Hypochlorite Cell (1000 lb unit) @ WTP</t>
  </si>
  <si>
    <t>Rotorak Actuator for WTP Filters</t>
  </si>
  <si>
    <t>Sutorbilt Legend Composter Pressure Blower</t>
  </si>
  <si>
    <t>WTP Expansion Land Purchase</t>
  </si>
  <si>
    <t>N College Street - N Terrace</t>
  </si>
  <si>
    <t>College St Relocation-Ald-Foothills</t>
  </si>
  <si>
    <t>N Elliot Rd Waterline Impr</t>
  </si>
  <si>
    <t>N Howard Street Waterline Impr</t>
  </si>
  <si>
    <t>Edgwood 232 LF, 8" DIP</t>
  </si>
  <si>
    <t>Heritage Meadow 140LF 8", 140LF 10" DIP</t>
  </si>
  <si>
    <t>Hess Creek 338 LF8" DIP</t>
  </si>
  <si>
    <t>College Street 8" CL52 DIP 2705 LF</t>
  </si>
  <si>
    <t>2nd Street Parking Lot Rehab</t>
  </si>
  <si>
    <t>Kings Landing 3&amp;4 Developer Contributed</t>
  </si>
  <si>
    <t xml:space="preserve"> Crestview Waterline - Non-potable</t>
  </si>
  <si>
    <t>Riverlands Developer Contributed</t>
  </si>
  <si>
    <t>Edgewater PUD Developer Contributed</t>
  </si>
  <si>
    <t>Crestview Crossing PUD Ph 1 Developer Contributed</t>
  </si>
  <si>
    <t>Crestview Crossing PUD Ph 1 Non-Potable Water Developer Contributed</t>
  </si>
  <si>
    <t>Friendsview Springbrook Meadows II Developer Contributed</t>
  </si>
  <si>
    <t>Existing Reserves</t>
  </si>
  <si>
    <t>Outstanding Debt</t>
  </si>
  <si>
    <t>EDU Capacity Requirements  (meter equivalents)</t>
  </si>
  <si>
    <t>Current meters (FY2018-19)</t>
  </si>
  <si>
    <t>3/4"</t>
  </si>
  <si>
    <t>1"</t>
  </si>
  <si>
    <t>1 1/4</t>
  </si>
  <si>
    <t>1 1/2"</t>
  </si>
  <si>
    <t>2"</t>
  </si>
  <si>
    <t>3"</t>
  </si>
  <si>
    <t>4"</t>
  </si>
  <si>
    <t>6"</t>
  </si>
  <si>
    <t>8"</t>
  </si>
  <si>
    <t>nonpotable</t>
  </si>
  <si>
    <t>Currently able to provide</t>
  </si>
  <si>
    <t>Current usage</t>
  </si>
  <si>
    <t>Capacity Reqts per Equivalent</t>
  </si>
  <si>
    <t>Capacity Requirements (Needs) (mgd)</t>
  </si>
  <si>
    <t>Potable Water</t>
  </si>
  <si>
    <t>Non-potable Water</t>
  </si>
  <si>
    <t>Potable</t>
  </si>
  <si>
    <t>Non-Potable</t>
  </si>
  <si>
    <t>Non Potable</t>
  </si>
  <si>
    <t>POTABLE WATER</t>
  </si>
  <si>
    <t>Meter Size</t>
  </si>
  <si>
    <t>NONPOTABLE WATER</t>
  </si>
  <si>
    <t>Reimbursement Cost Basis (1)</t>
  </si>
  <si>
    <t>Growth Capacity Requirements (2)</t>
  </si>
  <si>
    <t>Improvement Cost Basis (3)</t>
  </si>
  <si>
    <t>Total Potable SDC for 3/4"</t>
  </si>
  <si>
    <t>Additional amount (million gallons per day) of water projected tobe needed at full buildout of the City</t>
  </si>
  <si>
    <t>Unit cost per additional water needs</t>
  </si>
  <si>
    <t>Amount of water that can move through a 3/4" meter</t>
  </si>
  <si>
    <t>Unit cost divided by the capacity of a 3/4/" meter</t>
  </si>
  <si>
    <t>Costs of Capital Improvement Costs needed to serve full buildout of the City</t>
  </si>
  <si>
    <t>The reimbursement + the improvement is the total maximum allowable SDC</t>
  </si>
  <si>
    <t>Improvement$/EDU</t>
  </si>
  <si>
    <t>1 - From the Inventory of Current System</t>
  </si>
  <si>
    <t>2 - From the Planning Data</t>
  </si>
  <si>
    <t>3 - From the CIP List</t>
  </si>
  <si>
    <t>Unit Cost for Growth</t>
  </si>
  <si>
    <t>EDU=3/4" meter</t>
  </si>
  <si>
    <t>Cost of infrastructure already constructed in the City</t>
  </si>
  <si>
    <t>Additional amount (million gallons per day) of non-potable water projected to be needed at full buildout of the City</t>
  </si>
  <si>
    <t>Additional amount (million gallons per day) of nonpotable water projected tobe needed at full buildout of the City</t>
  </si>
  <si>
    <t>Total NonPotable SDC for 3/4"</t>
  </si>
  <si>
    <t>Unit cost divided by the capacity of a 3/4" meter</t>
  </si>
  <si>
    <t>***</t>
  </si>
  <si>
    <t>*** factor for capacity of the meter in relation to the 3/4" meter</t>
  </si>
  <si>
    <t>Seismic Upgrades to pipes</t>
  </si>
  <si>
    <t>Costs of Capital Improvement Costs needed to serve full buildout of the City - Existing Reserves</t>
  </si>
  <si>
    <t>Multiplier</t>
  </si>
  <si>
    <t>SFR</t>
  </si>
  <si>
    <t>New Groundwater Treatment Plant (price increase 2023)</t>
  </si>
  <si>
    <t>Interest for WIFIA Load (or similar loan)</t>
  </si>
  <si>
    <t>SDC</t>
  </si>
  <si>
    <t>WATER SDC CAPITAL PROJECT LIST - 2024</t>
  </si>
  <si>
    <t>Adopted by Council on 2/20/2024 with Ordinance No. 2024-2922.</t>
  </si>
  <si>
    <t>(1) % SDC Eligible indicates percent of project eligible to be funded by SDCs.</t>
  </si>
  <si>
    <t>City Construction Factor</t>
  </si>
  <si>
    <t>City $ Eligible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</si>
</sst>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* #,##0.0_);_(* \(#,##0.0\);_(* &quot;-&quot;??_);_(@_)"/>
    <numFmt numFmtId="167" formatCode="0.0"/>
    <numFmt numFmtId="168" formatCode="_(* #,##0_);_(* \(#,##0\);_(* &quot;-&quot;??_);_(@_)"/>
    <numFmt numFmtId="169" formatCode="&quot;$&quot;#,##0.00"/>
    <numFmt numFmtId="170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i/>
      <sz val="9"/>
      <name val="Arial"/>
      <family val="2"/>
    </font>
    <font>
      <i/>
      <sz val="9"/>
      <color rgb="FFFF0000"/>
      <name val="Arial"/>
      <family val="2"/>
    </font>
    <font>
      <sz val="9"/>
      <color indexed="1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i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9" fontId="0" fillId="0" borderId="0" xfId="1" applyFont="1"/>
    <xf numFmtId="164" fontId="4" fillId="0" borderId="0" xfId="2" applyNumberFormat="1" applyFont="1" applyAlignment="1">
      <alignment horizontal="right" vertical="center"/>
    </xf>
    <xf numFmtId="164" fontId="4" fillId="0" borderId="0" xfId="2" quotePrefix="1" applyNumberFormat="1" applyFont="1" applyAlignment="1">
      <alignment horizontal="center" vertical="center"/>
    </xf>
    <xf numFmtId="164" fontId="4" fillId="0" borderId="0" xfId="2" quotePrefix="1" applyNumberFormat="1" applyFont="1" applyAlignment="1">
      <alignment horizontal="right" vertical="center"/>
    </xf>
    <xf numFmtId="0" fontId="4" fillId="0" borderId="0" xfId="2" quotePrefix="1" applyFont="1" applyAlignment="1">
      <alignment horizontal="center" vertical="center"/>
    </xf>
    <xf numFmtId="164" fontId="5" fillId="0" borderId="1" xfId="2" applyNumberFormat="1" applyFont="1" applyBorder="1" applyAlignment="1">
      <alignment horizontal="right" vertical="center"/>
    </xf>
    <xf numFmtId="164" fontId="4" fillId="0" borderId="0" xfId="2" applyNumberFormat="1" applyFont="1" applyAlignment="1">
      <alignment horizontal="center" vertical="center"/>
    </xf>
    <xf numFmtId="0" fontId="4" fillId="0" borderId="0" xfId="2" quotePrefix="1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164" fontId="4" fillId="0" borderId="0" xfId="2" quotePrefix="1" applyNumberFormat="1" applyFont="1" applyAlignment="1">
      <alignment horizontal="center" vertical="center" wrapText="1"/>
    </xf>
    <xf numFmtId="164" fontId="4" fillId="0" borderId="0" xfId="2" applyNumberFormat="1" applyFont="1"/>
    <xf numFmtId="0" fontId="0" fillId="0" borderId="0" xfId="0" applyAlignment="1">
      <alignment horizontal="center"/>
    </xf>
    <xf numFmtId="49" fontId="5" fillId="0" borderId="0" xfId="2" applyNumberFormat="1" applyFont="1" applyAlignment="1">
      <alignment horizontal="left" vertical="center" wrapText="1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center"/>
    </xf>
    <xf numFmtId="43" fontId="0" fillId="0" borderId="0" xfId="4" applyFont="1" applyFill="1" applyBorder="1"/>
    <xf numFmtId="43" fontId="4" fillId="0" borderId="0" xfId="0" applyNumberFormat="1" applyFont="1"/>
    <xf numFmtId="0" fontId="0" fillId="2" borderId="0" xfId="0" applyFill="1"/>
    <xf numFmtId="0" fontId="8" fillId="3" borderId="0" xfId="0" applyFont="1" applyFill="1" applyAlignment="1">
      <alignment horizontal="left"/>
    </xf>
    <xf numFmtId="0" fontId="0" fillId="2" borderId="2" xfId="0" applyFill="1" applyBorder="1"/>
    <xf numFmtId="0" fontId="8" fillId="0" borderId="2" xfId="0" applyFont="1" applyBorder="1" applyAlignment="1">
      <alignment horizontal="left"/>
    </xf>
    <xf numFmtId="14" fontId="8" fillId="0" borderId="2" xfId="0" applyNumberFormat="1" applyFont="1" applyBorder="1" applyAlignment="1">
      <alignment horizontal="center"/>
    </xf>
    <xf numFmtId="43" fontId="0" fillId="0" borderId="2" xfId="4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0" fillId="0" borderId="2" xfId="0" applyBorder="1"/>
    <xf numFmtId="43" fontId="0" fillId="0" borderId="0" xfId="0" applyNumberFormat="1"/>
    <xf numFmtId="43" fontId="0" fillId="0" borderId="0" xfId="6" applyFont="1"/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43" fontId="11" fillId="0" borderId="0" xfId="6" applyFont="1" applyFill="1" applyBorder="1" applyAlignment="1">
      <alignment horizontal="right"/>
    </xf>
    <xf numFmtId="43" fontId="4" fillId="0" borderId="0" xfId="6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6" fontId="11" fillId="0" borderId="0" xfId="6" applyNumberFormat="1" applyFont="1" applyFill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43" fontId="4" fillId="0" borderId="0" xfId="1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165" fontId="9" fillId="0" borderId="0" xfId="1" applyNumberFormat="1" applyFont="1" applyFill="1" applyBorder="1" applyAlignment="1">
      <alignment horizontal="right"/>
    </xf>
    <xf numFmtId="167" fontId="11" fillId="0" borderId="0" xfId="0" applyNumberFormat="1" applyFont="1" applyAlignment="1">
      <alignment horizontal="center"/>
    </xf>
    <xf numFmtId="168" fontId="4" fillId="0" borderId="0" xfId="6" applyNumberFormat="1" applyFont="1" applyAlignment="1">
      <alignment horizontal="right"/>
    </xf>
    <xf numFmtId="167" fontId="11" fillId="0" borderId="0" xfId="2" applyNumberFormat="1" applyFont="1" applyAlignment="1">
      <alignment horizontal="center"/>
    </xf>
    <xf numFmtId="12" fontId="4" fillId="0" borderId="0" xfId="0" quotePrefix="1" applyNumberFormat="1" applyFont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1" fontId="4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0" fillId="4" borderId="0" xfId="4" applyFont="1" applyFill="1" applyBorder="1"/>
    <xf numFmtId="0" fontId="0" fillId="0" borderId="0" xfId="0" applyAlignment="1">
      <alignment horizontal="right"/>
    </xf>
    <xf numFmtId="0" fontId="0" fillId="0" borderId="3" xfId="0" applyBorder="1"/>
    <xf numFmtId="0" fontId="0" fillId="0" borderId="7" xfId="0" applyBorder="1"/>
    <xf numFmtId="44" fontId="2" fillId="0" borderId="0" xfId="7" applyFont="1" applyBorder="1"/>
    <xf numFmtId="0" fontId="4" fillId="0" borderId="4" xfId="0" applyFont="1" applyBorder="1" applyAlignment="1">
      <alignment horizontal="center"/>
    </xf>
    <xf numFmtId="12" fontId="4" fillId="0" borderId="4" xfId="0" quotePrefix="1" applyNumberFormat="1" applyFont="1" applyBorder="1" applyAlignment="1">
      <alignment horizontal="center"/>
    </xf>
    <xf numFmtId="0" fontId="13" fillId="0" borderId="0" xfId="0" applyFont="1"/>
    <xf numFmtId="44" fontId="13" fillId="0" borderId="0" xfId="0" applyNumberFormat="1" applyFont="1"/>
    <xf numFmtId="0" fontId="12" fillId="0" borderId="3" xfId="0" applyFont="1" applyBorder="1"/>
    <xf numFmtId="0" fontId="13" fillId="0" borderId="2" xfId="0" applyFont="1" applyBorder="1"/>
    <xf numFmtId="44" fontId="13" fillId="0" borderId="2" xfId="0" applyNumberFormat="1" applyFont="1" applyBorder="1"/>
    <xf numFmtId="44" fontId="0" fillId="0" borderId="0" xfId="7" applyFont="1" applyBorder="1"/>
    <xf numFmtId="44" fontId="1" fillId="0" borderId="0" xfId="7" applyFont="1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2" xfId="0" applyFont="1" applyBorder="1"/>
    <xf numFmtId="44" fontId="0" fillId="5" borderId="4" xfId="0" applyNumberFormat="1" applyFill="1" applyBorder="1"/>
    <xf numFmtId="0" fontId="0" fillId="0" borderId="8" xfId="0" applyBorder="1" applyAlignment="1">
      <alignment horizont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vertical="center" wrapText="1"/>
    </xf>
    <xf numFmtId="0" fontId="5" fillId="0" borderId="1" xfId="2" applyFont="1" applyBorder="1" applyAlignment="1">
      <alignment horizontal="left" vertical="center"/>
    </xf>
    <xf numFmtId="0" fontId="4" fillId="0" borderId="0" xfId="5" applyFont="1" applyAlignment="1">
      <alignment vertical="center"/>
    </xf>
    <xf numFmtId="0" fontId="2" fillId="0" borderId="0" xfId="0" applyFont="1" applyAlignment="1">
      <alignment horizontal="center" vertical="center"/>
    </xf>
    <xf numFmtId="165" fontId="4" fillId="0" borderId="0" xfId="3" applyNumberFormat="1" applyFont="1" applyFill="1" applyBorder="1" applyAlignment="1">
      <alignment vertical="center"/>
    </xf>
    <xf numFmtId="164" fontId="4" fillId="0" borderId="0" xfId="4" applyNumberFormat="1" applyFont="1" applyBorder="1" applyAlignment="1">
      <alignment vertical="center"/>
    </xf>
    <xf numFmtId="10" fontId="4" fillId="0" borderId="0" xfId="3" applyNumberFormat="1" applyFont="1" applyFill="1" applyAlignment="1">
      <alignment vertical="center"/>
    </xf>
    <xf numFmtId="9" fontId="4" fillId="0" borderId="0" xfId="3" applyFont="1" applyFill="1" applyBorder="1" applyAlignment="1">
      <alignment vertical="center"/>
    </xf>
    <xf numFmtId="164" fontId="4" fillId="0" borderId="0" xfId="4" applyNumberFormat="1" applyFont="1" applyFill="1" applyBorder="1" applyAlignment="1">
      <alignment vertical="center"/>
    </xf>
    <xf numFmtId="165" fontId="5" fillId="0" borderId="1" xfId="3" applyNumberFormat="1" applyFont="1" applyFill="1" applyBorder="1" applyAlignment="1">
      <alignment vertical="center"/>
    </xf>
    <xf numFmtId="164" fontId="5" fillId="0" borderId="1" xfId="4" applyNumberFormat="1" applyFont="1" applyBorder="1" applyAlignment="1">
      <alignment vertical="center"/>
    </xf>
    <xf numFmtId="9" fontId="4" fillId="0" borderId="1" xfId="3" applyFont="1" applyFill="1" applyBorder="1" applyAlignment="1">
      <alignment vertical="center"/>
    </xf>
    <xf numFmtId="0" fontId="4" fillId="0" borderId="0" xfId="2" applyFont="1" applyAlignment="1">
      <alignment vertical="center"/>
    </xf>
    <xf numFmtId="164" fontId="4" fillId="0" borderId="0" xfId="2" applyNumberFormat="1" applyFont="1" applyAlignment="1">
      <alignment vertical="center"/>
    </xf>
    <xf numFmtId="43" fontId="0" fillId="0" borderId="0" xfId="6" applyFont="1" applyAlignment="1">
      <alignment vertical="center"/>
    </xf>
    <xf numFmtId="169" fontId="0" fillId="0" borderId="0" xfId="0" applyNumberFormat="1" applyAlignment="1">
      <alignment vertical="center"/>
    </xf>
    <xf numFmtId="170" fontId="0" fillId="0" borderId="0" xfId="7" applyNumberFormat="1" applyFont="1" applyAlignment="1">
      <alignment vertical="center"/>
    </xf>
    <xf numFmtId="9" fontId="0" fillId="0" borderId="0" xfId="1" applyFont="1" applyAlignment="1">
      <alignment vertic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8">
    <cellStyle name="Comma" xfId="6" builtinId="3"/>
    <cellStyle name="Comma 2" xfId="4" xr:uid="{D283F60F-18B5-4957-986E-6BE33BA23E12}"/>
    <cellStyle name="Currency" xfId="7" builtinId="4"/>
    <cellStyle name="Normal" xfId="0" builtinId="0"/>
    <cellStyle name="Normal 2" xfId="2" xr:uid="{3DBCB237-BE24-425B-8710-534D6D7FB0AD}"/>
    <cellStyle name="Normal_FinPlan5_7_02_r" xfId="5" xr:uid="{44169107-AB5D-4D45-B959-E7A5E8CD6D5D}"/>
    <cellStyle name="Percent" xfId="1" builtinId="5"/>
    <cellStyle name="Percent 2" xfId="3" xr:uid="{09E94E07-E4B9-42BC-8427-1AFEB6E67F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00A80-0F82-49CA-9C7E-59056FDE6B9E}">
  <dimension ref="B2:W36"/>
  <sheetViews>
    <sheetView zoomScale="77" zoomScaleNormal="77" workbookViewId="0">
      <selection activeCell="C5" sqref="C5"/>
    </sheetView>
  </sheetViews>
  <sheetFormatPr defaultRowHeight="15" x14ac:dyDescent="0.25"/>
  <cols>
    <col min="2" max="2" width="12.28515625" customWidth="1"/>
    <col min="3" max="3" width="14.85546875" customWidth="1"/>
  </cols>
  <sheetData>
    <row r="2" spans="2:3" x14ac:dyDescent="0.25">
      <c r="B2" s="96" t="s">
        <v>426</v>
      </c>
      <c r="C2" s="97"/>
    </row>
    <row r="3" spans="2:3" ht="15.75" thickBot="1" x14ac:dyDescent="0.3">
      <c r="B3" s="98"/>
      <c r="C3" s="99"/>
    </row>
    <row r="4" spans="2:3" x14ac:dyDescent="0.25">
      <c r="B4" s="56" t="s">
        <v>427</v>
      </c>
      <c r="C4" s="71" t="s">
        <v>458</v>
      </c>
    </row>
    <row r="5" spans="2:3" x14ac:dyDescent="0.25">
      <c r="B5" s="58" t="s">
        <v>407</v>
      </c>
      <c r="C5" s="70">
        <f>'Charge Analysis'!B20*G36</f>
        <v>7846.1192918230245</v>
      </c>
    </row>
    <row r="6" spans="2:3" x14ac:dyDescent="0.25">
      <c r="B6" s="58" t="s">
        <v>408</v>
      </c>
      <c r="C6" s="70">
        <f>C5*'Planning Data'!D35*G36</f>
        <v>13338.402796099141</v>
      </c>
    </row>
    <row r="7" spans="2:3" x14ac:dyDescent="0.25">
      <c r="B7" s="59" t="s">
        <v>409</v>
      </c>
      <c r="C7" s="70">
        <f>C5*'Planning Data'!D36*G36</f>
        <v>19615.29822955756</v>
      </c>
    </row>
    <row r="8" spans="2:3" x14ac:dyDescent="0.25">
      <c r="B8" s="58" t="s">
        <v>410</v>
      </c>
      <c r="C8" s="70">
        <f>C5*'Planning Data'!D37*G36</f>
        <v>25892.19366301598</v>
      </c>
    </row>
    <row r="9" spans="2:3" x14ac:dyDescent="0.25">
      <c r="B9" s="58" t="s">
        <v>411</v>
      </c>
      <c r="C9" s="70">
        <f>C5*'Planning Data'!D38*G36</f>
        <v>41584.432246662029</v>
      </c>
    </row>
    <row r="10" spans="2:3" x14ac:dyDescent="0.25">
      <c r="B10" s="58" t="s">
        <v>412</v>
      </c>
      <c r="C10" s="70">
        <f>C5*'Planning Data'!D39*G36</f>
        <v>78461.192918230241</v>
      </c>
    </row>
    <row r="11" spans="2:3" x14ac:dyDescent="0.25">
      <c r="B11" s="58" t="s">
        <v>413</v>
      </c>
      <c r="C11" s="70">
        <f>C5*'Planning Data'!D40*G36</f>
        <v>131030.19217344451</v>
      </c>
    </row>
    <row r="12" spans="2:3" x14ac:dyDescent="0.25">
      <c r="B12" s="58" t="s">
        <v>414</v>
      </c>
      <c r="C12" s="70">
        <f>C5*'Planning Data'!D41*G36</f>
        <v>258921.93663015982</v>
      </c>
    </row>
    <row r="13" spans="2:3" x14ac:dyDescent="0.25">
      <c r="B13" s="58" t="s">
        <v>415</v>
      </c>
      <c r="C13" s="70">
        <f>C5*'Planning Data'!D42*G36</f>
        <v>415844.3224666203</v>
      </c>
    </row>
    <row r="17" spans="2:23" x14ac:dyDescent="0.25">
      <c r="B17" s="96" t="s">
        <v>428</v>
      </c>
      <c r="C17" s="97"/>
    </row>
    <row r="18" spans="2:23" ht="15.75" thickBot="1" x14ac:dyDescent="0.3">
      <c r="B18" s="98"/>
      <c r="C18" s="99"/>
    </row>
    <row r="19" spans="2:23" x14ac:dyDescent="0.25">
      <c r="B19" s="56" t="s">
        <v>427</v>
      </c>
      <c r="C19" s="71" t="s">
        <v>458</v>
      </c>
    </row>
    <row r="20" spans="2:23" x14ac:dyDescent="0.25">
      <c r="B20" s="58" t="s">
        <v>407</v>
      </c>
      <c r="C20" s="70">
        <f>'Charge Analysis'!B41*G36</f>
        <v>4065.9993862808415</v>
      </c>
    </row>
    <row r="21" spans="2:23" x14ac:dyDescent="0.25">
      <c r="B21" s="58" t="s">
        <v>408</v>
      </c>
      <c r="C21" s="70">
        <f>C20*'Planning Data'!D35*G36</f>
        <v>6912.19895667743</v>
      </c>
    </row>
    <row r="22" spans="2:23" ht="21" x14ac:dyDescent="0.35">
      <c r="B22" s="59" t="s">
        <v>409</v>
      </c>
      <c r="C22" s="70">
        <f>C20*'Planning Data'!D36*G36</f>
        <v>10164.998465702103</v>
      </c>
      <c r="V22" s="67" t="s">
        <v>455</v>
      </c>
      <c r="W22" s="67" t="s">
        <v>455</v>
      </c>
    </row>
    <row r="23" spans="2:23" ht="21" x14ac:dyDescent="0.35">
      <c r="B23" s="58" t="s">
        <v>410</v>
      </c>
      <c r="C23" s="70">
        <f>C20*'Planning Data'!D37*G36</f>
        <v>13417.797974726776</v>
      </c>
      <c r="V23" s="68"/>
      <c r="W23" s="68"/>
    </row>
    <row r="24" spans="2:23" ht="21" x14ac:dyDescent="0.35">
      <c r="B24" s="58" t="s">
        <v>411</v>
      </c>
      <c r="C24" s="70">
        <f>C20*'Planning Data'!D38*G36</f>
        <v>21549.796747288459</v>
      </c>
      <c r="V24" s="68">
        <v>8822.0400000000009</v>
      </c>
      <c r="W24" s="68">
        <v>5695</v>
      </c>
    </row>
    <row r="25" spans="2:23" ht="21" x14ac:dyDescent="0.35">
      <c r="B25" s="58" t="s">
        <v>412</v>
      </c>
      <c r="C25" s="70">
        <f>C20*'Planning Data'!D39*G36</f>
        <v>40659.993862808413</v>
      </c>
      <c r="V25" s="68">
        <v>7120.47</v>
      </c>
      <c r="W25" s="68">
        <v>8367</v>
      </c>
    </row>
    <row r="26" spans="2:23" ht="21" x14ac:dyDescent="0.35">
      <c r="B26" s="58" t="s">
        <v>413</v>
      </c>
      <c r="C26" s="70">
        <f>C20*'Planning Data'!D40*G36</f>
        <v>67902.189750890044</v>
      </c>
      <c r="V26" s="68">
        <v>484.3</v>
      </c>
      <c r="W26" s="68">
        <v>621.34</v>
      </c>
    </row>
    <row r="27" spans="2:23" ht="21" x14ac:dyDescent="0.35">
      <c r="B27" s="58" t="s">
        <v>414</v>
      </c>
      <c r="C27" s="70">
        <f>C20*'Planning Data'!D41*G36</f>
        <v>134177.97974726776</v>
      </c>
      <c r="V27" s="69">
        <v>8400</v>
      </c>
      <c r="W27" s="69">
        <v>6700</v>
      </c>
    </row>
    <row r="28" spans="2:23" ht="21" x14ac:dyDescent="0.35">
      <c r="B28" s="58" t="s">
        <v>415</v>
      </c>
      <c r="C28" s="70">
        <f>C20*'Planning Data'!D42*G36</f>
        <v>215497.9674728846</v>
      </c>
      <c r="V28" s="68">
        <f>SUM(V24:V27)</f>
        <v>24826.81</v>
      </c>
      <c r="W28" s="68">
        <f>SUM(W24:W27)</f>
        <v>21383.34</v>
      </c>
    </row>
    <row r="29" spans="2:23" ht="21" x14ac:dyDescent="0.35">
      <c r="V29" s="68"/>
      <c r="W29" s="68"/>
    </row>
    <row r="30" spans="2:23" ht="21" x14ac:dyDescent="0.35">
      <c r="V30" s="68"/>
      <c r="W30" s="68"/>
    </row>
    <row r="36" spans="6:7" x14ac:dyDescent="0.25">
      <c r="F36" t="s">
        <v>454</v>
      </c>
      <c r="G36">
        <v>1</v>
      </c>
    </row>
  </sheetData>
  <sheetProtection algorithmName="SHA-512" hashValue="+wHGOR4q0pLUGOoohasHkelUhxCzDiZTemUHmevN5dolp7h8gR//twmZXlfNoc2lbQQM3gzFQHuBr7YqZ/vdSA==" saltValue="PtEM0/vh29NUc7K/DdSVeQ==" spinCount="100000" sheet="1" objects="1" scenarios="1"/>
  <mergeCells count="2">
    <mergeCell ref="B17:C18"/>
    <mergeCell ref="B2:C3"/>
  </mergeCells>
  <pageMargins left="0.7" right="0.7" top="0.75" bottom="0.75" header="0.3" footer="0.3"/>
  <pageSetup orientation="portrait" verticalDpi="0" r:id="rId1"/>
  <ignoredErrors>
    <ignoredError sqref="B7 B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50B85-CDF2-4F13-A6F8-67123BC15DC7}">
  <dimension ref="A1:D45"/>
  <sheetViews>
    <sheetView zoomScale="112" zoomScaleNormal="112" workbookViewId="0">
      <selection activeCell="B41" sqref="B41"/>
    </sheetView>
  </sheetViews>
  <sheetFormatPr defaultRowHeight="15" x14ac:dyDescent="0.25"/>
  <cols>
    <col min="1" max="1" width="32" customWidth="1"/>
    <col min="2" max="2" width="18.140625" customWidth="1"/>
    <col min="3" max="3" width="12.5703125" customWidth="1"/>
    <col min="6" max="6" width="10.5703125" bestFit="1" customWidth="1"/>
  </cols>
  <sheetData>
    <row r="1" spans="1:4" s="55" customFormat="1" ht="18.75" x14ac:dyDescent="0.3">
      <c r="A1" s="62" t="s">
        <v>423</v>
      </c>
    </row>
    <row r="2" spans="1:4" x14ac:dyDescent="0.25">
      <c r="B2" t="s">
        <v>16</v>
      </c>
    </row>
    <row r="3" spans="1:4" x14ac:dyDescent="0.25">
      <c r="A3" t="s">
        <v>429</v>
      </c>
      <c r="B3" s="65">
        <f>'Inventory of Current System'!D352</f>
        <v>28933104.650000013</v>
      </c>
      <c r="D3" t="s">
        <v>445</v>
      </c>
    </row>
    <row r="4" spans="1:4" x14ac:dyDescent="0.25">
      <c r="A4" t="s">
        <v>430</v>
      </c>
      <c r="B4">
        <f>'Planning Data'!B9</f>
        <v>4.6099999999999994</v>
      </c>
      <c r="D4" t="s">
        <v>433</v>
      </c>
    </row>
    <row r="5" spans="1:4" x14ac:dyDescent="0.25">
      <c r="A5" t="s">
        <v>443</v>
      </c>
      <c r="B5" s="65">
        <f>B3/B4</f>
        <v>6276161.529284169</v>
      </c>
      <c r="D5" t="s">
        <v>434</v>
      </c>
    </row>
    <row r="8" spans="1:4" x14ac:dyDescent="0.25">
      <c r="A8" t="s">
        <v>18</v>
      </c>
      <c r="B8">
        <f>'Planning Data'!B25</f>
        <v>5.3489284313375891E-4</v>
      </c>
      <c r="D8" t="s">
        <v>435</v>
      </c>
    </row>
    <row r="9" spans="1:4" x14ac:dyDescent="0.25">
      <c r="A9" t="s">
        <v>444</v>
      </c>
    </row>
    <row r="10" spans="1:4" x14ac:dyDescent="0.25">
      <c r="A10" s="1" t="s">
        <v>19</v>
      </c>
      <c r="B10" s="57">
        <f>B8*B5</f>
        <v>3357.0738843655295</v>
      </c>
      <c r="D10" t="s">
        <v>449</v>
      </c>
    </row>
    <row r="15" spans="1:4" x14ac:dyDescent="0.25">
      <c r="A15" t="s">
        <v>431</v>
      </c>
      <c r="B15" s="65">
        <f>'CIP List'!G51+'CIP List'!G53</f>
        <v>38689056.31104891</v>
      </c>
      <c r="D15" t="s">
        <v>453</v>
      </c>
    </row>
    <row r="16" spans="1:4" x14ac:dyDescent="0.25">
      <c r="A16" t="s">
        <v>430</v>
      </c>
      <c r="B16">
        <f>B4</f>
        <v>4.6099999999999994</v>
      </c>
      <c r="D16" t="s">
        <v>433</v>
      </c>
    </row>
    <row r="17" spans="1:4" x14ac:dyDescent="0.25">
      <c r="A17" t="s">
        <v>443</v>
      </c>
      <c r="B17" s="65">
        <f>B15/B16</f>
        <v>8392420.0240887012</v>
      </c>
      <c r="D17" t="s">
        <v>434</v>
      </c>
    </row>
    <row r="18" spans="1:4" x14ac:dyDescent="0.25">
      <c r="A18" s="1" t="s">
        <v>439</v>
      </c>
      <c r="B18" s="57">
        <f>B17*B8</f>
        <v>4489.0454074574945</v>
      </c>
      <c r="D18" t="s">
        <v>436</v>
      </c>
    </row>
    <row r="19" spans="1:4" x14ac:dyDescent="0.25">
      <c r="B19" s="57"/>
    </row>
    <row r="20" spans="1:4" ht="15.75" x14ac:dyDescent="0.25">
      <c r="A20" s="60" t="s">
        <v>432</v>
      </c>
      <c r="B20" s="61">
        <f>B10+B18</f>
        <v>7846.1192918230245</v>
      </c>
      <c r="D20" t="s">
        <v>438</v>
      </c>
    </row>
    <row r="23" spans="1:4" s="55" customFormat="1" ht="18.75" x14ac:dyDescent="0.3">
      <c r="A23" s="62" t="s">
        <v>425</v>
      </c>
    </row>
    <row r="25" spans="1:4" x14ac:dyDescent="0.25">
      <c r="B25" t="s">
        <v>16</v>
      </c>
    </row>
    <row r="26" spans="1:4" x14ac:dyDescent="0.25">
      <c r="A26" t="s">
        <v>429</v>
      </c>
      <c r="B26" s="65">
        <f>'Inventory of Current System'!D360</f>
        <v>3546565.9</v>
      </c>
      <c r="D26" t="s">
        <v>445</v>
      </c>
    </row>
    <row r="27" spans="1:4" x14ac:dyDescent="0.25">
      <c r="A27" t="s">
        <v>430</v>
      </c>
      <c r="B27">
        <f>'Planning Data'!C9</f>
        <v>0.76000000000000034</v>
      </c>
      <c r="D27" t="s">
        <v>446</v>
      </c>
    </row>
    <row r="28" spans="1:4" x14ac:dyDescent="0.25">
      <c r="A28" t="s">
        <v>17</v>
      </c>
      <c r="B28" s="65">
        <f>B26/B27</f>
        <v>4666534.0789473662</v>
      </c>
      <c r="D28" t="s">
        <v>434</v>
      </c>
    </row>
    <row r="31" spans="1:4" x14ac:dyDescent="0.25">
      <c r="A31" t="s">
        <v>18</v>
      </c>
      <c r="B31">
        <v>5.4677935075895352E-4</v>
      </c>
      <c r="D31" t="s">
        <v>435</v>
      </c>
    </row>
    <row r="33" spans="1:4" x14ac:dyDescent="0.25">
      <c r="A33" s="1" t="s">
        <v>19</v>
      </c>
      <c r="B33" s="57">
        <f>B31*B28</f>
        <v>2551.564473981372</v>
      </c>
      <c r="D33" t="s">
        <v>449</v>
      </c>
    </row>
    <row r="36" spans="1:4" x14ac:dyDescent="0.25">
      <c r="A36" t="s">
        <v>431</v>
      </c>
      <c r="B36" s="66">
        <f>'CIP List'!G46</f>
        <v>2105000</v>
      </c>
      <c r="D36" t="s">
        <v>437</v>
      </c>
    </row>
    <row r="37" spans="1:4" x14ac:dyDescent="0.25">
      <c r="A37" t="s">
        <v>430</v>
      </c>
      <c r="B37">
        <f>B27</f>
        <v>0.76000000000000034</v>
      </c>
      <c r="D37" t="s">
        <v>447</v>
      </c>
    </row>
    <row r="38" spans="1:4" x14ac:dyDescent="0.25">
      <c r="A38" t="s">
        <v>443</v>
      </c>
      <c r="B38" s="65">
        <f>B36/B37</f>
        <v>2769736.842105262</v>
      </c>
      <c r="D38" t="s">
        <v>434</v>
      </c>
    </row>
    <row r="39" spans="1:4" x14ac:dyDescent="0.25">
      <c r="A39" s="1" t="s">
        <v>439</v>
      </c>
      <c r="B39" s="57">
        <f>B38*B31</f>
        <v>1514.4349122994693</v>
      </c>
      <c r="D39" t="s">
        <v>449</v>
      </c>
    </row>
    <row r="41" spans="1:4" s="27" customFormat="1" ht="15.75" x14ac:dyDescent="0.25">
      <c r="A41" s="63" t="s">
        <v>448</v>
      </c>
      <c r="B41" s="64">
        <f>B33+B39</f>
        <v>4065.9993862808415</v>
      </c>
      <c r="D41" s="27" t="s">
        <v>438</v>
      </c>
    </row>
    <row r="43" spans="1:4" x14ac:dyDescent="0.25">
      <c r="A43" t="s">
        <v>440</v>
      </c>
    </row>
    <row r="44" spans="1:4" x14ac:dyDescent="0.25">
      <c r="A44" t="s">
        <v>441</v>
      </c>
    </row>
    <row r="45" spans="1:4" x14ac:dyDescent="0.25">
      <c r="A45" t="s">
        <v>442</v>
      </c>
    </row>
  </sheetData>
  <sheetProtection algorithmName="SHA-512" hashValue="+rKVvrC1nhpjvuWy8zCECu0DNKAI3zu5doemGH4d0zffTqFN1eyFOBMYEyzBGwRGbp8YjIZJGxwYZm2tZ/R+ng==" saltValue="Wzb6yWLQz/ho5u30DgTDOg==" spinCount="100000" sheet="1" objects="1" scenarios="1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C21AE-5347-4081-97EF-C82DF4E89198}">
  <dimension ref="A2:O54"/>
  <sheetViews>
    <sheetView workbookViewId="0">
      <selection activeCell="E13" sqref="E13"/>
    </sheetView>
  </sheetViews>
  <sheetFormatPr defaultRowHeight="15" x14ac:dyDescent="0.25"/>
  <cols>
    <col min="1" max="1" width="27" customWidth="1"/>
    <col min="2" max="2" width="14.85546875" customWidth="1"/>
    <col min="3" max="3" width="12.85546875" customWidth="1"/>
    <col min="4" max="4" width="13.7109375" customWidth="1"/>
    <col min="14" max="14" width="17.140625" customWidth="1"/>
    <col min="15" max="15" width="12.28515625" customWidth="1"/>
  </cols>
  <sheetData>
    <row r="2" spans="1:15" x14ac:dyDescent="0.25">
      <c r="A2" s="1" t="s">
        <v>420</v>
      </c>
    </row>
    <row r="4" spans="1:15" x14ac:dyDescent="0.25">
      <c r="B4" s="13" t="s">
        <v>423</v>
      </c>
      <c r="C4" s="13" t="s">
        <v>424</v>
      </c>
      <c r="N4" s="30"/>
      <c r="O4" s="31"/>
    </row>
    <row r="5" spans="1:15" x14ac:dyDescent="0.25">
      <c r="A5" t="s">
        <v>418</v>
      </c>
      <c r="B5">
        <v>4.5</v>
      </c>
      <c r="C5">
        <v>0.6</v>
      </c>
      <c r="N5" s="32"/>
      <c r="O5" s="51"/>
    </row>
    <row r="6" spans="1:15" x14ac:dyDescent="0.25">
      <c r="N6" s="30"/>
      <c r="O6" s="52"/>
    </row>
    <row r="7" spans="1:15" x14ac:dyDescent="0.25">
      <c r="A7" t="s">
        <v>0</v>
      </c>
      <c r="B7">
        <v>9.11</v>
      </c>
      <c r="C7">
        <f>0.6+0.12+0.34+0.01+0.06+0.13+0.1</f>
        <v>1.3600000000000003</v>
      </c>
      <c r="N7" s="32"/>
      <c r="O7" s="33"/>
    </row>
    <row r="8" spans="1:15" x14ac:dyDescent="0.25">
      <c r="N8" s="34"/>
      <c r="O8" s="35"/>
    </row>
    <row r="9" spans="1:15" x14ac:dyDescent="0.25">
      <c r="A9" t="s">
        <v>1</v>
      </c>
      <c r="B9">
        <f>B7-B5</f>
        <v>4.6099999999999994</v>
      </c>
      <c r="C9">
        <f>C7-C5</f>
        <v>0.76000000000000034</v>
      </c>
      <c r="N9" s="34"/>
      <c r="O9" s="36"/>
    </row>
    <row r="10" spans="1:15" x14ac:dyDescent="0.25">
      <c r="N10" s="34"/>
      <c r="O10" s="36"/>
    </row>
    <row r="11" spans="1:15" x14ac:dyDescent="0.25">
      <c r="N11" s="34"/>
      <c r="O11" s="36"/>
    </row>
    <row r="12" spans="1:15" x14ac:dyDescent="0.25">
      <c r="A12" s="1" t="s">
        <v>2</v>
      </c>
      <c r="N12" s="34"/>
      <c r="O12" s="36"/>
    </row>
    <row r="13" spans="1:15" x14ac:dyDescent="0.25">
      <c r="N13" s="34"/>
      <c r="O13" s="36"/>
    </row>
    <row r="14" spans="1:15" x14ac:dyDescent="0.25">
      <c r="A14" t="s">
        <v>417</v>
      </c>
      <c r="B14">
        <v>8</v>
      </c>
      <c r="C14">
        <f>1.18</f>
        <v>1.18</v>
      </c>
      <c r="N14" s="34"/>
      <c r="O14" s="36"/>
    </row>
    <row r="15" spans="1:15" x14ac:dyDescent="0.25">
      <c r="N15" s="37"/>
      <c r="O15" s="36"/>
    </row>
    <row r="16" spans="1:15" x14ac:dyDescent="0.25">
      <c r="A16" t="s">
        <v>3</v>
      </c>
      <c r="B16">
        <f>B14-B5</f>
        <v>3.5</v>
      </c>
      <c r="C16">
        <f>C14-C5</f>
        <v>0.57999999999999996</v>
      </c>
      <c r="N16" s="34"/>
      <c r="O16" s="36"/>
    </row>
    <row r="17" spans="1:15" x14ac:dyDescent="0.25">
      <c r="A17" t="s">
        <v>4</v>
      </c>
      <c r="B17" s="2">
        <f>B16/B14</f>
        <v>0.4375</v>
      </c>
      <c r="C17" s="2">
        <f>C16/C14</f>
        <v>0.49152542372881353</v>
      </c>
      <c r="N17" s="34"/>
      <c r="O17" s="36"/>
    </row>
    <row r="18" spans="1:15" x14ac:dyDescent="0.25">
      <c r="N18" s="34"/>
      <c r="O18" s="36"/>
    </row>
    <row r="19" spans="1:15" x14ac:dyDescent="0.25">
      <c r="N19" s="34"/>
      <c r="O19" s="36"/>
    </row>
    <row r="20" spans="1:15" x14ac:dyDescent="0.25">
      <c r="N20" s="34"/>
      <c r="O20" s="35"/>
    </row>
    <row r="21" spans="1:15" x14ac:dyDescent="0.25">
      <c r="N21" s="34"/>
      <c r="O21" s="35"/>
    </row>
    <row r="22" spans="1:15" x14ac:dyDescent="0.25">
      <c r="A22" s="1" t="s">
        <v>5</v>
      </c>
      <c r="N22" s="34"/>
      <c r="O22" s="35"/>
    </row>
    <row r="23" spans="1:15" x14ac:dyDescent="0.25">
      <c r="N23" s="34"/>
      <c r="O23" s="35"/>
    </row>
    <row r="24" spans="1:15" x14ac:dyDescent="0.25">
      <c r="A24" t="s">
        <v>6</v>
      </c>
      <c r="B24">
        <f>B5*1000000/E43</f>
        <v>534.8928431337589</v>
      </c>
      <c r="N24" s="30"/>
      <c r="O24" s="31"/>
    </row>
    <row r="25" spans="1:15" x14ac:dyDescent="0.25">
      <c r="A25" t="s">
        <v>419</v>
      </c>
      <c r="B25">
        <f>B24/1000000</f>
        <v>5.3489284313375891E-4</v>
      </c>
      <c r="N25" s="32"/>
      <c r="O25" s="36"/>
    </row>
    <row r="26" spans="1:15" x14ac:dyDescent="0.25">
      <c r="N26" s="34"/>
      <c r="O26" s="35"/>
    </row>
    <row r="27" spans="1:15" x14ac:dyDescent="0.25">
      <c r="N27" s="34"/>
    </row>
    <row r="28" spans="1:15" x14ac:dyDescent="0.25">
      <c r="N28" s="34"/>
      <c r="O28" s="35"/>
    </row>
    <row r="29" spans="1:15" x14ac:dyDescent="0.25">
      <c r="N29" s="34"/>
      <c r="O29" s="36"/>
    </row>
    <row r="30" spans="1:15" x14ac:dyDescent="0.25">
      <c r="N30" s="32"/>
      <c r="O30" s="36"/>
    </row>
    <row r="31" spans="1:15" x14ac:dyDescent="0.25">
      <c r="N31" s="34"/>
      <c r="O31" s="35"/>
    </row>
    <row r="32" spans="1:15" x14ac:dyDescent="0.25">
      <c r="A32" s="30" t="s">
        <v>405</v>
      </c>
      <c r="B32" s="31"/>
      <c r="C32" s="37" t="s">
        <v>406</v>
      </c>
      <c r="D32" s="31"/>
      <c r="E32" s="31"/>
      <c r="F32" s="32"/>
      <c r="N32" s="34"/>
      <c r="O32" s="36"/>
    </row>
    <row r="33" spans="1:15" x14ac:dyDescent="0.25">
      <c r="A33" s="32"/>
      <c r="B33" s="31"/>
      <c r="C33" s="31"/>
      <c r="D33" s="44" t="s">
        <v>450</v>
      </c>
      <c r="E33" s="31"/>
      <c r="F33" s="31"/>
      <c r="N33" s="34"/>
      <c r="O33" s="36"/>
    </row>
    <row r="34" spans="1:15" x14ac:dyDescent="0.25">
      <c r="A34" s="32" t="s">
        <v>407</v>
      </c>
      <c r="B34" s="31"/>
      <c r="C34" s="45">
        <v>6508</v>
      </c>
      <c r="D34" s="46">
        <v>1</v>
      </c>
      <c r="E34" s="45">
        <f t="shared" ref="E34:E42" si="0">C34*D34</f>
        <v>6508</v>
      </c>
      <c r="F34" s="37"/>
      <c r="N34" s="34"/>
      <c r="O34" s="36"/>
    </row>
    <row r="35" spans="1:15" x14ac:dyDescent="0.25">
      <c r="A35" s="32" t="s">
        <v>408</v>
      </c>
      <c r="B35" s="31"/>
      <c r="C35" s="45">
        <v>211</v>
      </c>
      <c r="D35" s="44">
        <v>1.7</v>
      </c>
      <c r="E35" s="45">
        <f t="shared" si="0"/>
        <v>358.7</v>
      </c>
      <c r="F35" s="31"/>
      <c r="N35" s="34"/>
      <c r="O35" s="36"/>
    </row>
    <row r="36" spans="1:15" x14ac:dyDescent="0.25">
      <c r="A36" s="47" t="s">
        <v>409</v>
      </c>
      <c r="B36" s="31"/>
      <c r="C36" s="45">
        <v>0</v>
      </c>
      <c r="D36" s="44">
        <f>(D37-D35)/2+D35</f>
        <v>2.5</v>
      </c>
      <c r="E36" s="45">
        <f t="shared" si="0"/>
        <v>0</v>
      </c>
      <c r="F36" s="31"/>
      <c r="N36" s="38"/>
      <c r="O36" s="36"/>
    </row>
    <row r="37" spans="1:15" x14ac:dyDescent="0.25">
      <c r="A37" s="32" t="s">
        <v>410</v>
      </c>
      <c r="B37" s="31"/>
      <c r="C37" s="45">
        <v>90</v>
      </c>
      <c r="D37" s="44">
        <v>3.3</v>
      </c>
      <c r="E37" s="45">
        <f t="shared" si="0"/>
        <v>297</v>
      </c>
      <c r="F37" s="31"/>
      <c r="N37" s="32"/>
      <c r="O37" s="31"/>
    </row>
    <row r="38" spans="1:15" x14ac:dyDescent="0.25">
      <c r="A38" s="32" t="s">
        <v>411</v>
      </c>
      <c r="B38" s="31"/>
      <c r="C38" s="45">
        <v>123</v>
      </c>
      <c r="D38" s="44">
        <v>5.3</v>
      </c>
      <c r="E38" s="45">
        <f t="shared" si="0"/>
        <v>651.9</v>
      </c>
      <c r="F38" s="31"/>
      <c r="N38" s="34"/>
      <c r="O38" s="39"/>
    </row>
    <row r="39" spans="1:15" x14ac:dyDescent="0.25">
      <c r="A39" s="32" t="s">
        <v>412</v>
      </c>
      <c r="B39" s="31"/>
      <c r="C39" s="45">
        <v>28</v>
      </c>
      <c r="D39" s="44">
        <v>10</v>
      </c>
      <c r="E39" s="45">
        <f t="shared" si="0"/>
        <v>280</v>
      </c>
      <c r="F39" s="31"/>
      <c r="N39" s="34"/>
      <c r="O39" s="40"/>
    </row>
    <row r="40" spans="1:15" x14ac:dyDescent="0.25">
      <c r="A40" s="32" t="s">
        <v>413</v>
      </c>
      <c r="B40" s="31"/>
      <c r="C40" s="45">
        <v>19</v>
      </c>
      <c r="D40" s="44">
        <v>16.7</v>
      </c>
      <c r="E40" s="45">
        <f t="shared" si="0"/>
        <v>317.3</v>
      </c>
      <c r="F40" s="37"/>
      <c r="N40" s="34"/>
      <c r="O40" s="41"/>
    </row>
    <row r="41" spans="1:15" x14ac:dyDescent="0.25">
      <c r="A41" s="32" t="s">
        <v>414</v>
      </c>
      <c r="B41" s="31"/>
      <c r="C41" s="45">
        <v>0</v>
      </c>
      <c r="D41" s="44">
        <v>33</v>
      </c>
      <c r="E41" s="45">
        <f t="shared" si="0"/>
        <v>0</v>
      </c>
      <c r="F41" s="31"/>
      <c r="N41" s="34"/>
      <c r="O41" s="40"/>
    </row>
    <row r="42" spans="1:15" x14ac:dyDescent="0.25">
      <c r="A42" s="32" t="s">
        <v>415</v>
      </c>
      <c r="B42" s="31"/>
      <c r="C42" s="45">
        <v>1</v>
      </c>
      <c r="D42" s="44">
        <v>53</v>
      </c>
      <c r="E42" s="45">
        <f t="shared" si="0"/>
        <v>53</v>
      </c>
      <c r="F42" s="37" t="s">
        <v>416</v>
      </c>
      <c r="N42" s="34"/>
      <c r="O42" s="40"/>
    </row>
    <row r="43" spans="1:15" x14ac:dyDescent="0.25">
      <c r="A43" s="48"/>
      <c r="B43" s="49"/>
      <c r="C43" s="49">
        <f>SUM(C34:C41)</f>
        <v>6979</v>
      </c>
      <c r="D43" s="49"/>
      <c r="E43" s="50">
        <f>SUM(E34:E42)-E42</f>
        <v>8412.9</v>
      </c>
      <c r="F43" s="31"/>
      <c r="N43" s="34"/>
      <c r="O43" s="40"/>
    </row>
    <row r="44" spans="1:15" x14ac:dyDescent="0.25">
      <c r="N44" s="34"/>
      <c r="O44" s="40"/>
    </row>
    <row r="45" spans="1:15" x14ac:dyDescent="0.25">
      <c r="A45" s="32" t="s">
        <v>451</v>
      </c>
      <c r="N45" s="34"/>
      <c r="O45" s="40"/>
    </row>
    <row r="46" spans="1:15" x14ac:dyDescent="0.25">
      <c r="N46" s="34"/>
      <c r="O46" s="40"/>
    </row>
    <row r="47" spans="1:15" x14ac:dyDescent="0.25">
      <c r="N47" s="32"/>
      <c r="O47" s="39"/>
    </row>
    <row r="48" spans="1:15" x14ac:dyDescent="0.25">
      <c r="N48" s="34"/>
      <c r="O48" s="36"/>
    </row>
    <row r="49" spans="14:15" x14ac:dyDescent="0.25">
      <c r="N49" s="42"/>
      <c r="O49" s="43"/>
    </row>
    <row r="50" spans="14:15" x14ac:dyDescent="0.25">
      <c r="N50" s="34"/>
      <c r="O50" s="41"/>
    </row>
    <row r="51" spans="14:15" x14ac:dyDescent="0.25">
      <c r="N51" s="42"/>
      <c r="O51" s="43"/>
    </row>
    <row r="52" spans="14:15" x14ac:dyDescent="0.25">
      <c r="N52" s="34"/>
      <c r="O52" s="41"/>
    </row>
    <row r="53" spans="14:15" x14ac:dyDescent="0.25">
      <c r="N53" s="42"/>
      <c r="O53" s="43"/>
    </row>
    <row r="54" spans="14:15" x14ac:dyDescent="0.25">
      <c r="N54" s="32"/>
      <c r="O54" s="32"/>
    </row>
  </sheetData>
  <sheetProtection algorithmName="SHA-512" hashValue="Cpp5VXdo3iO+uP6WzjDsbMHee7OPzpyRWbhj2wCKrHD2ELVExJgZVe/YqiARL++nH/iZ5f1VoHkuaY3eimIxpg==" saltValue="8JWiYLs+hj7KZqMPGhJE6Q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1644-28B5-4C54-A68D-4A6CA4167073}">
  <dimension ref="A3:F360"/>
  <sheetViews>
    <sheetView workbookViewId="0">
      <pane xSplit="10" ySplit="18" topLeftCell="K59" activePane="bottomRight" state="frozen"/>
      <selection pane="topRight" activeCell="K1" sqref="K1"/>
      <selection pane="bottomLeft" activeCell="A19" sqref="A19"/>
      <selection pane="bottomRight" activeCell="D352" sqref="D352"/>
    </sheetView>
  </sheetViews>
  <sheetFormatPr defaultRowHeight="15" x14ac:dyDescent="0.25"/>
  <cols>
    <col min="1" max="1" width="19.140625" customWidth="1"/>
    <col min="2" max="2" width="38.5703125" customWidth="1"/>
    <col min="3" max="3" width="13" customWidth="1"/>
    <col min="4" max="4" width="19.42578125" customWidth="1"/>
    <col min="5" max="5" width="14.7109375" customWidth="1"/>
    <col min="6" max="6" width="13.28515625" customWidth="1"/>
  </cols>
  <sheetData>
    <row r="3" spans="1:6" x14ac:dyDescent="0.25">
      <c r="A3" s="13" t="s">
        <v>7</v>
      </c>
      <c r="B3" s="13" t="s">
        <v>8</v>
      </c>
      <c r="C3" s="13" t="s">
        <v>9</v>
      </c>
      <c r="D3" s="13" t="s">
        <v>10</v>
      </c>
    </row>
    <row r="5" spans="1:6" x14ac:dyDescent="0.25">
      <c r="A5" t="s">
        <v>107</v>
      </c>
      <c r="B5" s="15" t="s">
        <v>108</v>
      </c>
      <c r="C5" s="16">
        <v>25933</v>
      </c>
      <c r="D5" s="17">
        <v>8000</v>
      </c>
      <c r="E5" s="17">
        <v>0</v>
      </c>
      <c r="F5" s="18">
        <f t="shared" ref="F5:F68" si="0">+D5-E5</f>
        <v>8000</v>
      </c>
    </row>
    <row r="6" spans="1:6" x14ac:dyDescent="0.25">
      <c r="A6" t="s">
        <v>107</v>
      </c>
      <c r="B6" s="15" t="s">
        <v>109</v>
      </c>
      <c r="C6" s="16">
        <v>17898</v>
      </c>
      <c r="D6" s="17">
        <v>500</v>
      </c>
      <c r="E6" s="17">
        <v>0</v>
      </c>
      <c r="F6" s="18">
        <f t="shared" si="0"/>
        <v>500</v>
      </c>
    </row>
    <row r="7" spans="1:6" x14ac:dyDescent="0.25">
      <c r="A7" t="s">
        <v>107</v>
      </c>
      <c r="B7" s="15" t="s">
        <v>110</v>
      </c>
      <c r="C7" s="16">
        <v>9132</v>
      </c>
      <c r="D7" s="17">
        <v>4000</v>
      </c>
      <c r="E7" s="17">
        <v>0</v>
      </c>
      <c r="F7" s="18">
        <f t="shared" si="0"/>
        <v>4000</v>
      </c>
    </row>
    <row r="8" spans="1:6" x14ac:dyDescent="0.25">
      <c r="A8" t="s">
        <v>107</v>
      </c>
      <c r="B8" s="15" t="s">
        <v>111</v>
      </c>
      <c r="C8" s="16">
        <v>25203</v>
      </c>
      <c r="D8" s="53">
        <v>10261</v>
      </c>
      <c r="E8" s="17">
        <v>0</v>
      </c>
      <c r="F8" s="18">
        <f t="shared" si="0"/>
        <v>10261</v>
      </c>
    </row>
    <row r="9" spans="1:6" x14ac:dyDescent="0.25">
      <c r="A9" t="s">
        <v>107</v>
      </c>
      <c r="B9" s="15" t="s">
        <v>112</v>
      </c>
      <c r="C9" s="16">
        <v>15372</v>
      </c>
      <c r="D9" s="17">
        <v>2000</v>
      </c>
      <c r="E9" s="17">
        <v>0</v>
      </c>
      <c r="F9" s="18">
        <f t="shared" si="0"/>
        <v>2000</v>
      </c>
    </row>
    <row r="10" spans="1:6" x14ac:dyDescent="0.25">
      <c r="A10" t="s">
        <v>107</v>
      </c>
      <c r="B10" s="15" t="s">
        <v>113</v>
      </c>
      <c r="C10" s="16">
        <v>18628</v>
      </c>
      <c r="D10" s="17">
        <v>1450</v>
      </c>
      <c r="E10" s="17">
        <v>0</v>
      </c>
      <c r="F10" s="18">
        <f t="shared" si="0"/>
        <v>1450</v>
      </c>
    </row>
    <row r="11" spans="1:6" x14ac:dyDescent="0.25">
      <c r="A11" t="s">
        <v>107</v>
      </c>
      <c r="B11" s="15" t="s">
        <v>114</v>
      </c>
      <c r="C11" s="16">
        <v>21915</v>
      </c>
      <c r="D11" s="17">
        <v>450</v>
      </c>
      <c r="E11" s="17">
        <v>0</v>
      </c>
      <c r="F11" s="18">
        <f t="shared" si="0"/>
        <v>450</v>
      </c>
    </row>
    <row r="12" spans="1:6" x14ac:dyDescent="0.25">
      <c r="A12" t="s">
        <v>63</v>
      </c>
      <c r="B12" s="15" t="s">
        <v>115</v>
      </c>
      <c r="C12" s="16">
        <v>33603</v>
      </c>
      <c r="D12" s="17">
        <v>45277</v>
      </c>
      <c r="E12" s="17">
        <v>45277</v>
      </c>
      <c r="F12" s="18">
        <f t="shared" si="0"/>
        <v>0</v>
      </c>
    </row>
    <row r="13" spans="1:6" x14ac:dyDescent="0.25">
      <c r="A13" s="19" t="s">
        <v>63</v>
      </c>
      <c r="B13" s="15" t="s">
        <v>116</v>
      </c>
      <c r="C13" s="16">
        <v>29220</v>
      </c>
      <c r="D13" s="17">
        <v>5390</v>
      </c>
      <c r="E13" s="17">
        <v>5390</v>
      </c>
      <c r="F13" s="18">
        <f t="shared" si="0"/>
        <v>0</v>
      </c>
    </row>
    <row r="14" spans="1:6" x14ac:dyDescent="0.25">
      <c r="A14" t="s">
        <v>63</v>
      </c>
      <c r="B14" s="15" t="s">
        <v>117</v>
      </c>
      <c r="C14" s="16">
        <v>25933</v>
      </c>
      <c r="D14" s="17">
        <v>22997</v>
      </c>
      <c r="E14" s="17">
        <v>22997</v>
      </c>
      <c r="F14" s="18">
        <f t="shared" si="0"/>
        <v>0</v>
      </c>
    </row>
    <row r="15" spans="1:6" x14ac:dyDescent="0.25">
      <c r="A15" t="s">
        <v>63</v>
      </c>
      <c r="B15" s="15" t="s">
        <v>118</v>
      </c>
      <c r="C15" s="16">
        <v>29951</v>
      </c>
      <c r="D15" s="17">
        <v>3214.56</v>
      </c>
      <c r="E15" s="17">
        <v>3214.56</v>
      </c>
      <c r="F15" s="18">
        <f t="shared" si="0"/>
        <v>0</v>
      </c>
    </row>
    <row r="16" spans="1:6" x14ac:dyDescent="0.25">
      <c r="A16" t="s">
        <v>63</v>
      </c>
      <c r="B16" s="15" t="s">
        <v>119</v>
      </c>
      <c r="C16" s="16">
        <v>32873</v>
      </c>
      <c r="D16" s="17">
        <v>52360</v>
      </c>
      <c r="E16" s="17">
        <v>52360</v>
      </c>
      <c r="F16" s="18">
        <f t="shared" si="0"/>
        <v>0</v>
      </c>
    </row>
    <row r="17" spans="1:6" x14ac:dyDescent="0.25">
      <c r="A17" t="s">
        <v>63</v>
      </c>
      <c r="B17" s="15" t="s">
        <v>120</v>
      </c>
      <c r="C17" s="16">
        <v>31412</v>
      </c>
      <c r="D17" s="17">
        <v>1700</v>
      </c>
      <c r="E17" s="17">
        <v>1700</v>
      </c>
      <c r="F17" s="18">
        <f t="shared" si="0"/>
        <v>0</v>
      </c>
    </row>
    <row r="18" spans="1:6" x14ac:dyDescent="0.25">
      <c r="A18" t="s">
        <v>63</v>
      </c>
      <c r="B18" s="15" t="s">
        <v>121</v>
      </c>
      <c r="C18" s="16">
        <v>31412</v>
      </c>
      <c r="D18" s="17">
        <v>1400</v>
      </c>
      <c r="E18" s="17">
        <v>1400</v>
      </c>
      <c r="F18" s="18">
        <f t="shared" si="0"/>
        <v>0</v>
      </c>
    </row>
    <row r="19" spans="1:6" x14ac:dyDescent="0.25">
      <c r="A19" s="19" t="s">
        <v>63</v>
      </c>
      <c r="B19" s="15" t="s">
        <v>122</v>
      </c>
      <c r="C19" s="16">
        <v>31777</v>
      </c>
      <c r="D19" s="17">
        <v>237.5</v>
      </c>
      <c r="E19" s="17">
        <v>237.5</v>
      </c>
      <c r="F19" s="18">
        <f t="shared" si="0"/>
        <v>0</v>
      </c>
    </row>
    <row r="20" spans="1:6" x14ac:dyDescent="0.25">
      <c r="A20" t="s">
        <v>63</v>
      </c>
      <c r="B20" s="15" t="s">
        <v>123</v>
      </c>
      <c r="C20" s="16">
        <v>33238</v>
      </c>
      <c r="D20" s="17">
        <v>320</v>
      </c>
      <c r="E20" s="17">
        <v>320</v>
      </c>
      <c r="F20" s="18">
        <f t="shared" si="0"/>
        <v>0</v>
      </c>
    </row>
    <row r="21" spans="1:6" x14ac:dyDescent="0.25">
      <c r="A21" t="s">
        <v>63</v>
      </c>
      <c r="B21" s="15" t="s">
        <v>124</v>
      </c>
      <c r="C21" s="16">
        <v>33238</v>
      </c>
      <c r="D21" s="17">
        <v>300</v>
      </c>
      <c r="E21" s="17">
        <v>300</v>
      </c>
      <c r="F21" s="18">
        <f t="shared" si="0"/>
        <v>0</v>
      </c>
    </row>
    <row r="22" spans="1:6" x14ac:dyDescent="0.25">
      <c r="A22" t="s">
        <v>63</v>
      </c>
      <c r="B22" s="15" t="s">
        <v>125</v>
      </c>
      <c r="C22" s="16">
        <v>25933</v>
      </c>
      <c r="D22" s="17">
        <v>12818</v>
      </c>
      <c r="E22" s="17">
        <v>12818</v>
      </c>
      <c r="F22" s="18">
        <f t="shared" si="0"/>
        <v>0</v>
      </c>
    </row>
    <row r="23" spans="1:6" x14ac:dyDescent="0.25">
      <c r="A23" t="s">
        <v>63</v>
      </c>
      <c r="B23" s="15" t="s">
        <v>126</v>
      </c>
      <c r="C23" s="16">
        <v>33238</v>
      </c>
      <c r="D23" s="17">
        <v>3000</v>
      </c>
      <c r="E23" s="17">
        <v>3000</v>
      </c>
      <c r="F23" s="18">
        <f t="shared" si="0"/>
        <v>0</v>
      </c>
    </row>
    <row r="24" spans="1:6" x14ac:dyDescent="0.25">
      <c r="A24" t="s">
        <v>63</v>
      </c>
      <c r="B24" s="15" t="s">
        <v>127</v>
      </c>
      <c r="C24" s="16">
        <v>24472</v>
      </c>
      <c r="D24" s="17">
        <v>3087.5</v>
      </c>
      <c r="E24" s="17">
        <v>3087.5</v>
      </c>
      <c r="F24" s="18">
        <f t="shared" si="0"/>
        <v>0</v>
      </c>
    </row>
    <row r="25" spans="1:6" x14ac:dyDescent="0.25">
      <c r="A25" t="s">
        <v>63</v>
      </c>
      <c r="B25" s="15" t="s">
        <v>128</v>
      </c>
      <c r="C25" s="16">
        <v>33603</v>
      </c>
      <c r="D25" s="17">
        <v>3933</v>
      </c>
      <c r="E25" s="17">
        <v>3933</v>
      </c>
      <c r="F25" s="18">
        <f t="shared" si="0"/>
        <v>0</v>
      </c>
    </row>
    <row r="26" spans="1:6" x14ac:dyDescent="0.25">
      <c r="A26" t="s">
        <v>63</v>
      </c>
      <c r="B26" s="15" t="s">
        <v>129</v>
      </c>
      <c r="C26" s="16">
        <v>26298</v>
      </c>
      <c r="D26" s="17">
        <v>425</v>
      </c>
      <c r="E26" s="17">
        <v>425</v>
      </c>
      <c r="F26" s="18">
        <f t="shared" si="0"/>
        <v>0</v>
      </c>
    </row>
    <row r="27" spans="1:6" x14ac:dyDescent="0.25">
      <c r="A27" t="s">
        <v>63</v>
      </c>
      <c r="B27" s="15" t="s">
        <v>130</v>
      </c>
      <c r="C27" s="16">
        <v>26298</v>
      </c>
      <c r="D27" s="17">
        <v>500</v>
      </c>
      <c r="E27" s="17">
        <v>500</v>
      </c>
      <c r="F27" s="18">
        <f t="shared" si="0"/>
        <v>0</v>
      </c>
    </row>
    <row r="28" spans="1:6" x14ac:dyDescent="0.25">
      <c r="A28" t="s">
        <v>63</v>
      </c>
      <c r="B28" s="15" t="s">
        <v>131</v>
      </c>
      <c r="C28" s="16">
        <v>24472</v>
      </c>
      <c r="D28" s="17">
        <v>3087.5</v>
      </c>
      <c r="E28" s="17">
        <v>3087.5</v>
      </c>
      <c r="F28" s="18">
        <f t="shared" si="0"/>
        <v>0</v>
      </c>
    </row>
    <row r="29" spans="1:6" x14ac:dyDescent="0.25">
      <c r="A29" t="s">
        <v>63</v>
      </c>
      <c r="B29" s="15" t="s">
        <v>132</v>
      </c>
      <c r="C29" s="16">
        <v>30316</v>
      </c>
      <c r="D29" s="17">
        <v>15385</v>
      </c>
      <c r="E29" s="17">
        <v>15385</v>
      </c>
      <c r="F29" s="18">
        <f t="shared" si="0"/>
        <v>0</v>
      </c>
    </row>
    <row r="30" spans="1:6" x14ac:dyDescent="0.25">
      <c r="A30" t="s">
        <v>63</v>
      </c>
      <c r="B30" s="15" t="s">
        <v>133</v>
      </c>
      <c r="C30" s="16">
        <v>33603</v>
      </c>
      <c r="D30" s="17">
        <v>557</v>
      </c>
      <c r="E30" s="17">
        <v>557</v>
      </c>
      <c r="F30" s="18">
        <f t="shared" si="0"/>
        <v>0</v>
      </c>
    </row>
    <row r="31" spans="1:6" x14ac:dyDescent="0.25">
      <c r="A31" t="s">
        <v>63</v>
      </c>
      <c r="B31" s="15" t="s">
        <v>134</v>
      </c>
      <c r="C31" s="16">
        <v>25933</v>
      </c>
      <c r="D31" s="17">
        <v>5843.5</v>
      </c>
      <c r="E31" s="17">
        <v>5843.5</v>
      </c>
      <c r="F31" s="18">
        <f t="shared" si="0"/>
        <v>0</v>
      </c>
    </row>
    <row r="32" spans="1:6" x14ac:dyDescent="0.25">
      <c r="A32" t="s">
        <v>63</v>
      </c>
      <c r="B32" s="15" t="s">
        <v>135</v>
      </c>
      <c r="C32" s="16">
        <v>29586</v>
      </c>
      <c r="D32" s="17">
        <v>16767</v>
      </c>
      <c r="E32" s="17">
        <v>16767</v>
      </c>
      <c r="F32" s="18">
        <f t="shared" si="0"/>
        <v>0</v>
      </c>
    </row>
    <row r="33" spans="1:6" x14ac:dyDescent="0.25">
      <c r="A33" t="s">
        <v>63</v>
      </c>
      <c r="B33" s="15" t="s">
        <v>136</v>
      </c>
      <c r="C33" s="16">
        <v>33238</v>
      </c>
      <c r="D33" s="17">
        <v>520</v>
      </c>
      <c r="E33" s="17">
        <v>520</v>
      </c>
      <c r="F33" s="18">
        <f t="shared" si="0"/>
        <v>0</v>
      </c>
    </row>
    <row r="34" spans="1:6" x14ac:dyDescent="0.25">
      <c r="A34" t="s">
        <v>63</v>
      </c>
      <c r="B34" s="15" t="s">
        <v>137</v>
      </c>
      <c r="C34" s="16">
        <v>29586</v>
      </c>
      <c r="D34" s="17">
        <v>16767</v>
      </c>
      <c r="E34" s="17">
        <v>16767</v>
      </c>
      <c r="F34" s="18">
        <f t="shared" si="0"/>
        <v>0</v>
      </c>
    </row>
    <row r="35" spans="1:6" x14ac:dyDescent="0.25">
      <c r="A35" t="s">
        <v>63</v>
      </c>
      <c r="B35" s="15" t="s">
        <v>138</v>
      </c>
      <c r="C35" s="16">
        <v>33238</v>
      </c>
      <c r="D35" s="17">
        <v>320</v>
      </c>
      <c r="E35" s="17">
        <v>320</v>
      </c>
      <c r="F35" s="18">
        <f t="shared" si="0"/>
        <v>0</v>
      </c>
    </row>
    <row r="36" spans="1:6" x14ac:dyDescent="0.25">
      <c r="A36" t="s">
        <v>63</v>
      </c>
      <c r="B36" s="15" t="s">
        <v>139</v>
      </c>
      <c r="C36" s="16">
        <v>29586</v>
      </c>
      <c r="D36" s="17">
        <v>24786</v>
      </c>
      <c r="E36" s="17">
        <v>24786</v>
      </c>
      <c r="F36" s="18">
        <f t="shared" si="0"/>
        <v>0</v>
      </c>
    </row>
    <row r="37" spans="1:6" x14ac:dyDescent="0.25">
      <c r="A37" t="s">
        <v>63</v>
      </c>
      <c r="B37" s="15" t="s">
        <v>140</v>
      </c>
      <c r="C37" s="16">
        <v>30681</v>
      </c>
      <c r="D37" s="17">
        <v>15656</v>
      </c>
      <c r="E37" s="17">
        <v>15656</v>
      </c>
      <c r="F37" s="18">
        <f t="shared" si="0"/>
        <v>0</v>
      </c>
    </row>
    <row r="38" spans="1:6" x14ac:dyDescent="0.25">
      <c r="A38" t="s">
        <v>67</v>
      </c>
      <c r="B38" s="15" t="s">
        <v>141</v>
      </c>
      <c r="C38" s="16">
        <v>25933</v>
      </c>
      <c r="D38" s="17">
        <v>2525.9</v>
      </c>
      <c r="E38" s="17">
        <v>2525.9</v>
      </c>
      <c r="F38" s="18">
        <f t="shared" si="0"/>
        <v>0</v>
      </c>
    </row>
    <row r="39" spans="1:6" x14ac:dyDescent="0.25">
      <c r="A39" t="s">
        <v>67</v>
      </c>
      <c r="B39" s="15" t="s">
        <v>142</v>
      </c>
      <c r="C39" s="16">
        <v>25933</v>
      </c>
      <c r="D39" s="17">
        <v>33402.199999999997</v>
      </c>
      <c r="E39" s="17">
        <v>33402.199999999997</v>
      </c>
      <c r="F39" s="18">
        <f t="shared" si="0"/>
        <v>0</v>
      </c>
    </row>
    <row r="40" spans="1:6" x14ac:dyDescent="0.25">
      <c r="A40" t="s">
        <v>67</v>
      </c>
      <c r="B40" s="15" t="s">
        <v>143</v>
      </c>
      <c r="C40" s="16">
        <v>24472</v>
      </c>
      <c r="D40" s="53">
        <v>2307.5</v>
      </c>
      <c r="E40" s="17">
        <v>0</v>
      </c>
      <c r="F40" s="18">
        <f t="shared" si="0"/>
        <v>2307.5</v>
      </c>
    </row>
    <row r="41" spans="1:6" x14ac:dyDescent="0.25">
      <c r="A41" t="s">
        <v>67</v>
      </c>
      <c r="B41" s="15" t="s">
        <v>144</v>
      </c>
      <c r="C41" s="16">
        <v>23011</v>
      </c>
      <c r="D41" s="17">
        <v>180890</v>
      </c>
      <c r="E41" s="17">
        <v>0</v>
      </c>
      <c r="F41" s="18">
        <f t="shared" si="0"/>
        <v>180890</v>
      </c>
    </row>
    <row r="42" spans="1:6" x14ac:dyDescent="0.25">
      <c r="A42" t="s">
        <v>67</v>
      </c>
      <c r="B42" s="15" t="s">
        <v>145</v>
      </c>
      <c r="C42" s="16">
        <v>33969</v>
      </c>
      <c r="D42" s="17">
        <v>182577.6</v>
      </c>
      <c r="E42" s="17">
        <v>182577.6</v>
      </c>
      <c r="F42" s="18">
        <f t="shared" si="0"/>
        <v>0</v>
      </c>
    </row>
    <row r="43" spans="1:6" x14ac:dyDescent="0.25">
      <c r="A43" t="s">
        <v>67</v>
      </c>
      <c r="B43" s="15" t="s">
        <v>146</v>
      </c>
      <c r="C43" s="16">
        <v>23011</v>
      </c>
      <c r="D43" s="17">
        <v>67765</v>
      </c>
      <c r="E43" s="17">
        <v>0</v>
      </c>
      <c r="F43" s="18">
        <f t="shared" si="0"/>
        <v>67765</v>
      </c>
    </row>
    <row r="44" spans="1:6" x14ac:dyDescent="0.25">
      <c r="A44" t="s">
        <v>67</v>
      </c>
      <c r="B44" s="15" t="s">
        <v>147</v>
      </c>
      <c r="C44" s="16">
        <v>23742</v>
      </c>
      <c r="D44" s="17">
        <v>2534</v>
      </c>
      <c r="E44" s="17">
        <v>0</v>
      </c>
      <c r="F44" s="18">
        <f t="shared" si="0"/>
        <v>2534</v>
      </c>
    </row>
    <row r="45" spans="1:6" x14ac:dyDescent="0.25">
      <c r="A45" t="s">
        <v>67</v>
      </c>
      <c r="B45" s="15" t="s">
        <v>148</v>
      </c>
      <c r="C45" s="16">
        <v>23742</v>
      </c>
      <c r="D45" s="17">
        <v>2719</v>
      </c>
      <c r="E45" s="17">
        <v>0</v>
      </c>
      <c r="F45" s="18">
        <f t="shared" si="0"/>
        <v>2719</v>
      </c>
    </row>
    <row r="46" spans="1:6" x14ac:dyDescent="0.25">
      <c r="A46" t="s">
        <v>67</v>
      </c>
      <c r="B46" s="15" t="s">
        <v>146</v>
      </c>
      <c r="C46" s="16">
        <v>18628</v>
      </c>
      <c r="D46" s="17">
        <v>49020</v>
      </c>
      <c r="E46" s="17">
        <v>0</v>
      </c>
      <c r="F46" s="18">
        <f t="shared" si="0"/>
        <v>49020</v>
      </c>
    </row>
    <row r="47" spans="1:6" x14ac:dyDescent="0.25">
      <c r="A47" t="s">
        <v>67</v>
      </c>
      <c r="B47" s="15" t="s">
        <v>149</v>
      </c>
      <c r="C47" s="16">
        <v>22281</v>
      </c>
      <c r="D47" s="17">
        <v>341208</v>
      </c>
      <c r="E47" s="17">
        <v>0</v>
      </c>
      <c r="F47" s="18">
        <f t="shared" si="0"/>
        <v>341208</v>
      </c>
    </row>
    <row r="48" spans="1:6" x14ac:dyDescent="0.25">
      <c r="A48" t="s">
        <v>67</v>
      </c>
      <c r="B48" s="15" t="s">
        <v>150</v>
      </c>
      <c r="C48" s="16">
        <v>21185</v>
      </c>
      <c r="D48" s="17">
        <v>354211.17</v>
      </c>
      <c r="E48" s="17">
        <v>0</v>
      </c>
      <c r="F48" s="18">
        <f t="shared" si="0"/>
        <v>354211.17</v>
      </c>
    </row>
    <row r="49" spans="1:6" x14ac:dyDescent="0.25">
      <c r="A49" t="s">
        <v>67</v>
      </c>
      <c r="B49" s="15" t="s">
        <v>151</v>
      </c>
      <c r="C49" s="16">
        <v>12784</v>
      </c>
      <c r="D49" s="17">
        <v>12487</v>
      </c>
      <c r="E49" s="17">
        <v>0</v>
      </c>
      <c r="F49" s="18">
        <f t="shared" si="0"/>
        <v>12487</v>
      </c>
    </row>
    <row r="50" spans="1:6" x14ac:dyDescent="0.25">
      <c r="A50" t="s">
        <v>67</v>
      </c>
      <c r="B50" s="15" t="s">
        <v>152</v>
      </c>
      <c r="C50" s="16">
        <v>29586</v>
      </c>
      <c r="D50" s="17">
        <v>775612</v>
      </c>
      <c r="E50" s="17">
        <v>715286.62999999954</v>
      </c>
      <c r="F50" s="18">
        <f t="shared" si="0"/>
        <v>60325.370000000461</v>
      </c>
    </row>
    <row r="51" spans="1:6" x14ac:dyDescent="0.25">
      <c r="A51" t="s">
        <v>67</v>
      </c>
      <c r="B51" s="15" t="s">
        <v>153</v>
      </c>
      <c r="C51" s="16">
        <v>29586</v>
      </c>
      <c r="D51" s="17">
        <v>15271</v>
      </c>
      <c r="E51" s="17">
        <v>0</v>
      </c>
      <c r="F51" s="18">
        <f t="shared" si="0"/>
        <v>15271</v>
      </c>
    </row>
    <row r="52" spans="1:6" x14ac:dyDescent="0.25">
      <c r="A52" t="s">
        <v>67</v>
      </c>
      <c r="B52" s="15" t="s">
        <v>154</v>
      </c>
      <c r="C52" s="16">
        <v>25933</v>
      </c>
      <c r="D52" s="17">
        <v>372775</v>
      </c>
      <c r="E52" s="17">
        <v>372775</v>
      </c>
      <c r="F52" s="18">
        <f t="shared" si="0"/>
        <v>0</v>
      </c>
    </row>
    <row r="53" spans="1:6" x14ac:dyDescent="0.25">
      <c r="A53" t="s">
        <v>67</v>
      </c>
      <c r="B53" s="15" t="s">
        <v>155</v>
      </c>
      <c r="C53" s="16">
        <v>28855</v>
      </c>
      <c r="D53" s="17">
        <v>815811</v>
      </c>
      <c r="E53" s="17">
        <v>0</v>
      </c>
      <c r="F53" s="18">
        <f t="shared" si="0"/>
        <v>815811</v>
      </c>
    </row>
    <row r="54" spans="1:6" x14ac:dyDescent="0.25">
      <c r="A54" t="s">
        <v>67</v>
      </c>
      <c r="B54" s="15" t="s">
        <v>156</v>
      </c>
      <c r="C54" s="16">
        <v>28855</v>
      </c>
      <c r="D54" s="53">
        <v>3923.5</v>
      </c>
      <c r="E54" s="17">
        <v>0</v>
      </c>
      <c r="F54" s="18">
        <f t="shared" si="0"/>
        <v>3923.5</v>
      </c>
    </row>
    <row r="55" spans="1:6" x14ac:dyDescent="0.25">
      <c r="A55" t="s">
        <v>67</v>
      </c>
      <c r="B55" s="15" t="s">
        <v>157</v>
      </c>
      <c r="C55" s="16">
        <v>28490</v>
      </c>
      <c r="D55" s="17">
        <v>9659.6</v>
      </c>
      <c r="E55" s="17">
        <v>0</v>
      </c>
      <c r="F55" s="18">
        <f t="shared" si="0"/>
        <v>9659.6</v>
      </c>
    </row>
    <row r="56" spans="1:6" x14ac:dyDescent="0.25">
      <c r="A56" t="s">
        <v>67</v>
      </c>
      <c r="B56" s="15" t="s">
        <v>158</v>
      </c>
      <c r="C56" s="16">
        <v>25933</v>
      </c>
      <c r="D56" s="17">
        <v>3525.6</v>
      </c>
      <c r="E56" s="17">
        <v>0</v>
      </c>
      <c r="F56" s="18">
        <f t="shared" si="0"/>
        <v>3525.6</v>
      </c>
    </row>
    <row r="57" spans="1:6" x14ac:dyDescent="0.25">
      <c r="A57" t="s">
        <v>67</v>
      </c>
      <c r="B57" s="15" t="s">
        <v>159</v>
      </c>
      <c r="C57" s="16">
        <v>24472</v>
      </c>
      <c r="D57" s="17">
        <v>5460</v>
      </c>
      <c r="E57" s="17">
        <v>0</v>
      </c>
      <c r="F57" s="18">
        <f t="shared" si="0"/>
        <v>5460</v>
      </c>
    </row>
    <row r="58" spans="1:6" x14ac:dyDescent="0.25">
      <c r="A58" t="s">
        <v>67</v>
      </c>
      <c r="B58" s="15" t="s">
        <v>160</v>
      </c>
      <c r="C58" s="16">
        <v>29586</v>
      </c>
      <c r="D58" s="17">
        <v>14564</v>
      </c>
      <c r="E58" s="17">
        <v>0</v>
      </c>
      <c r="F58" s="18">
        <f t="shared" si="0"/>
        <v>14564</v>
      </c>
    </row>
    <row r="59" spans="1:6" x14ac:dyDescent="0.25">
      <c r="A59" t="s">
        <v>70</v>
      </c>
      <c r="B59" s="15" t="s">
        <v>161</v>
      </c>
      <c r="C59" s="16">
        <v>33238</v>
      </c>
      <c r="D59" s="17">
        <v>98239</v>
      </c>
      <c r="E59" s="17">
        <v>61890.569999999992</v>
      </c>
      <c r="F59" s="18">
        <f t="shared" si="0"/>
        <v>36348.430000000008</v>
      </c>
    </row>
    <row r="60" spans="1:6" x14ac:dyDescent="0.25">
      <c r="A60" t="s">
        <v>70</v>
      </c>
      <c r="B60" s="15" t="s">
        <v>162</v>
      </c>
      <c r="C60" s="16">
        <v>13149</v>
      </c>
      <c r="D60" s="17">
        <v>13172</v>
      </c>
      <c r="E60" s="17">
        <v>13172</v>
      </c>
      <c r="F60" s="18">
        <f t="shared" si="0"/>
        <v>0</v>
      </c>
    </row>
    <row r="61" spans="1:6" x14ac:dyDescent="0.25">
      <c r="A61" t="s">
        <v>70</v>
      </c>
      <c r="B61" s="15" t="s">
        <v>163</v>
      </c>
      <c r="C61" s="16">
        <v>28855</v>
      </c>
      <c r="D61" s="17">
        <v>59502</v>
      </c>
      <c r="E61" s="17">
        <v>51766.740000000005</v>
      </c>
      <c r="F61" s="18">
        <f t="shared" si="0"/>
        <v>7735.2599999999948</v>
      </c>
    </row>
    <row r="62" spans="1:6" x14ac:dyDescent="0.25">
      <c r="A62" t="s">
        <v>70</v>
      </c>
      <c r="B62" s="15" t="s">
        <v>164</v>
      </c>
      <c r="C62" s="16">
        <v>26298</v>
      </c>
      <c r="D62" s="17">
        <v>12560</v>
      </c>
      <c r="E62" s="17">
        <v>12560.000000000005</v>
      </c>
      <c r="F62" s="18">
        <f t="shared" si="0"/>
        <v>0</v>
      </c>
    </row>
    <row r="63" spans="1:6" x14ac:dyDescent="0.25">
      <c r="A63" t="s">
        <v>70</v>
      </c>
      <c r="B63" s="15" t="s">
        <v>165</v>
      </c>
      <c r="C63" s="16">
        <v>28490</v>
      </c>
      <c r="D63" s="17">
        <v>57125</v>
      </c>
      <c r="E63" s="17">
        <v>50841.25</v>
      </c>
      <c r="F63" s="18">
        <f t="shared" si="0"/>
        <v>6283.75</v>
      </c>
    </row>
    <row r="64" spans="1:6" x14ac:dyDescent="0.25">
      <c r="A64" t="s">
        <v>70</v>
      </c>
      <c r="B64" s="15" t="s">
        <v>166</v>
      </c>
      <c r="C64" s="16">
        <v>27029</v>
      </c>
      <c r="D64" s="17">
        <v>34907</v>
      </c>
      <c r="E64" s="17">
        <v>33859.789999999994</v>
      </c>
      <c r="F64" s="18">
        <f t="shared" si="0"/>
        <v>1047.2100000000064</v>
      </c>
    </row>
    <row r="65" spans="1:6" x14ac:dyDescent="0.25">
      <c r="A65" t="s">
        <v>70</v>
      </c>
      <c r="B65" s="15" t="s">
        <v>167</v>
      </c>
      <c r="C65" s="16">
        <v>28125</v>
      </c>
      <c r="D65" s="17">
        <v>51169</v>
      </c>
      <c r="E65" s="17">
        <v>46563.789999999979</v>
      </c>
      <c r="F65" s="18">
        <f t="shared" si="0"/>
        <v>4605.210000000021</v>
      </c>
    </row>
    <row r="66" spans="1:6" x14ac:dyDescent="0.25">
      <c r="A66" t="s">
        <v>70</v>
      </c>
      <c r="B66" s="15" t="s">
        <v>168</v>
      </c>
      <c r="C66" s="16">
        <v>33603</v>
      </c>
      <c r="D66" s="17">
        <v>697360</v>
      </c>
      <c r="E66" s="17">
        <v>425389.60000000009</v>
      </c>
      <c r="F66" s="18">
        <f t="shared" si="0"/>
        <v>271970.39999999991</v>
      </c>
    </row>
    <row r="67" spans="1:6" x14ac:dyDescent="0.25">
      <c r="A67" t="s">
        <v>70</v>
      </c>
      <c r="B67" s="15" t="s">
        <v>169</v>
      </c>
      <c r="C67" s="16">
        <v>27759</v>
      </c>
      <c r="D67" s="17">
        <v>91183</v>
      </c>
      <c r="E67" s="17">
        <v>84800.190000000031</v>
      </c>
      <c r="F67" s="18">
        <f t="shared" si="0"/>
        <v>6382.8099999999686</v>
      </c>
    </row>
    <row r="68" spans="1:6" x14ac:dyDescent="0.25">
      <c r="A68" t="s">
        <v>70</v>
      </c>
      <c r="B68" s="15" t="s">
        <v>170</v>
      </c>
      <c r="C68" s="16">
        <v>33603</v>
      </c>
      <c r="D68" s="17">
        <v>135768</v>
      </c>
      <c r="E68" s="17">
        <v>82818.48</v>
      </c>
      <c r="F68" s="18">
        <f t="shared" si="0"/>
        <v>52949.520000000004</v>
      </c>
    </row>
    <row r="69" spans="1:6" x14ac:dyDescent="0.25">
      <c r="A69" t="s">
        <v>70</v>
      </c>
      <c r="B69" s="15" t="s">
        <v>171</v>
      </c>
      <c r="C69" s="16">
        <v>27394</v>
      </c>
      <c r="D69" s="17">
        <v>114864</v>
      </c>
      <c r="E69" s="17">
        <v>109120.79999999999</v>
      </c>
      <c r="F69" s="18">
        <f t="shared" ref="F69:F132" si="1">+D69-E69</f>
        <v>5743.2000000000116</v>
      </c>
    </row>
    <row r="70" spans="1:6" x14ac:dyDescent="0.25">
      <c r="A70" t="s">
        <v>70</v>
      </c>
      <c r="B70" s="15" t="s">
        <v>172</v>
      </c>
      <c r="C70" s="16">
        <v>32142</v>
      </c>
      <c r="D70" s="17">
        <v>104694</v>
      </c>
      <c r="E70" s="17">
        <v>72238.86</v>
      </c>
      <c r="F70" s="18">
        <f t="shared" si="1"/>
        <v>32455.14</v>
      </c>
    </row>
    <row r="71" spans="1:6" x14ac:dyDescent="0.25">
      <c r="A71" t="s">
        <v>70</v>
      </c>
      <c r="B71" s="15" t="s">
        <v>173</v>
      </c>
      <c r="C71" s="16">
        <v>23011</v>
      </c>
      <c r="D71" s="17">
        <v>146884</v>
      </c>
      <c r="E71" s="17">
        <v>146884</v>
      </c>
      <c r="F71" s="18">
        <f t="shared" si="1"/>
        <v>0</v>
      </c>
    </row>
    <row r="72" spans="1:6" x14ac:dyDescent="0.25">
      <c r="A72" t="s">
        <v>70</v>
      </c>
      <c r="B72" s="15" t="s">
        <v>174</v>
      </c>
      <c r="C72" s="16">
        <v>29586</v>
      </c>
      <c r="D72" s="17">
        <v>148879</v>
      </c>
      <c r="E72" s="17">
        <v>123569.57000000002</v>
      </c>
      <c r="F72" s="18">
        <f t="shared" si="1"/>
        <v>25309.429999999978</v>
      </c>
    </row>
    <row r="73" spans="1:6" x14ac:dyDescent="0.25">
      <c r="A73" t="s">
        <v>70</v>
      </c>
      <c r="B73" s="15" t="s">
        <v>175</v>
      </c>
      <c r="C73" s="16">
        <v>29951</v>
      </c>
      <c r="D73" s="17">
        <v>908068</v>
      </c>
      <c r="E73" s="17">
        <v>735535.07999999984</v>
      </c>
      <c r="F73" s="18">
        <f t="shared" si="1"/>
        <v>172532.92000000016</v>
      </c>
    </row>
    <row r="74" spans="1:6" x14ac:dyDescent="0.25">
      <c r="A74" t="s">
        <v>70</v>
      </c>
      <c r="B74" s="15" t="s">
        <v>176</v>
      </c>
      <c r="C74" s="16">
        <v>29220</v>
      </c>
      <c r="D74" s="17">
        <v>169166</v>
      </c>
      <c r="E74" s="17">
        <v>143791.10000000006</v>
      </c>
      <c r="F74" s="18">
        <f t="shared" si="1"/>
        <v>25374.899999999936</v>
      </c>
    </row>
    <row r="75" spans="1:6" x14ac:dyDescent="0.25">
      <c r="A75" t="s">
        <v>70</v>
      </c>
      <c r="B75" s="15" t="s">
        <v>177</v>
      </c>
      <c r="C75" s="16">
        <v>25933</v>
      </c>
      <c r="D75" s="17">
        <v>106168</v>
      </c>
      <c r="E75" s="17">
        <v>106168</v>
      </c>
      <c r="F75" s="18">
        <f t="shared" si="1"/>
        <v>0</v>
      </c>
    </row>
    <row r="76" spans="1:6" x14ac:dyDescent="0.25">
      <c r="A76" t="s">
        <v>70</v>
      </c>
      <c r="B76" s="15" t="s">
        <v>178</v>
      </c>
      <c r="C76" s="16">
        <v>25568</v>
      </c>
      <c r="D76" s="17">
        <v>22441</v>
      </c>
      <c r="E76" s="17">
        <v>22440.999999999996</v>
      </c>
      <c r="F76" s="18">
        <f t="shared" si="1"/>
        <v>0</v>
      </c>
    </row>
    <row r="77" spans="1:6" x14ac:dyDescent="0.25">
      <c r="A77" t="s">
        <v>70</v>
      </c>
      <c r="B77" s="15" t="s">
        <v>179</v>
      </c>
      <c r="C77" s="16">
        <v>32873</v>
      </c>
      <c r="D77" s="17">
        <v>20741</v>
      </c>
      <c r="E77" s="17">
        <v>13481.649999999998</v>
      </c>
      <c r="F77" s="18">
        <f t="shared" si="1"/>
        <v>7259.3500000000022</v>
      </c>
    </row>
    <row r="78" spans="1:6" x14ac:dyDescent="0.25">
      <c r="A78" t="s">
        <v>70</v>
      </c>
      <c r="B78" s="15" t="s">
        <v>179</v>
      </c>
      <c r="C78" s="16">
        <v>32873</v>
      </c>
      <c r="D78" s="17">
        <v>72963</v>
      </c>
      <c r="E78" s="17">
        <v>47425.950000000019</v>
      </c>
      <c r="F78" s="18">
        <f t="shared" si="1"/>
        <v>25537.049999999981</v>
      </c>
    </row>
    <row r="79" spans="1:6" x14ac:dyDescent="0.25">
      <c r="A79" t="s">
        <v>107</v>
      </c>
      <c r="B79" s="15" t="s">
        <v>180</v>
      </c>
      <c r="C79" s="16" t="s">
        <v>181</v>
      </c>
      <c r="D79" s="17">
        <v>2100</v>
      </c>
      <c r="E79" s="17">
        <v>0</v>
      </c>
      <c r="F79" s="18">
        <f t="shared" si="1"/>
        <v>2100</v>
      </c>
    </row>
    <row r="80" spans="1:6" x14ac:dyDescent="0.25">
      <c r="A80" t="s">
        <v>107</v>
      </c>
      <c r="B80" s="15" t="s">
        <v>114</v>
      </c>
      <c r="C80" s="16">
        <v>2470</v>
      </c>
      <c r="D80" s="17">
        <v>200</v>
      </c>
      <c r="E80" s="17">
        <v>0</v>
      </c>
      <c r="F80" s="18">
        <f t="shared" si="1"/>
        <v>200</v>
      </c>
    </row>
    <row r="81" spans="1:6" x14ac:dyDescent="0.25">
      <c r="A81" t="s">
        <v>107</v>
      </c>
      <c r="B81" s="15" t="s">
        <v>182</v>
      </c>
      <c r="C81" s="16">
        <v>1828</v>
      </c>
      <c r="D81" s="17">
        <v>1000</v>
      </c>
      <c r="E81" s="17">
        <v>0</v>
      </c>
      <c r="F81" s="18">
        <f t="shared" si="1"/>
        <v>1000</v>
      </c>
    </row>
    <row r="82" spans="1:6" x14ac:dyDescent="0.25">
      <c r="A82" t="s">
        <v>63</v>
      </c>
      <c r="B82" s="15" t="s">
        <v>183</v>
      </c>
      <c r="C82" s="16">
        <v>34150</v>
      </c>
      <c r="D82" s="17">
        <v>446.14</v>
      </c>
      <c r="E82" s="17">
        <v>446.14</v>
      </c>
      <c r="F82" s="18">
        <f t="shared" si="1"/>
        <v>0</v>
      </c>
    </row>
    <row r="83" spans="1:6" x14ac:dyDescent="0.25">
      <c r="A83" t="s">
        <v>107</v>
      </c>
      <c r="B83" s="15" t="s">
        <v>184</v>
      </c>
      <c r="C83" s="16">
        <v>33974</v>
      </c>
      <c r="D83" s="17">
        <v>131313.60000000001</v>
      </c>
      <c r="E83" s="17">
        <v>0</v>
      </c>
      <c r="F83" s="18">
        <f t="shared" si="1"/>
        <v>131313.60000000001</v>
      </c>
    </row>
    <row r="84" spans="1:6" x14ac:dyDescent="0.25">
      <c r="A84" t="s">
        <v>67</v>
      </c>
      <c r="B84" s="15" t="s">
        <v>185</v>
      </c>
      <c r="C84" s="16">
        <v>34150</v>
      </c>
      <c r="D84" s="17">
        <v>480472.5</v>
      </c>
      <c r="E84" s="17">
        <v>0</v>
      </c>
      <c r="F84" s="18">
        <f t="shared" si="1"/>
        <v>480472.5</v>
      </c>
    </row>
    <row r="85" spans="1:6" x14ac:dyDescent="0.25">
      <c r="A85" t="s">
        <v>70</v>
      </c>
      <c r="B85" s="15" t="s">
        <v>186</v>
      </c>
      <c r="C85" s="16">
        <v>34150</v>
      </c>
      <c r="D85" s="17">
        <v>213466</v>
      </c>
      <c r="E85" s="17">
        <v>125944.94000000006</v>
      </c>
      <c r="F85" s="18">
        <f t="shared" si="1"/>
        <v>87521.059999999939</v>
      </c>
    </row>
    <row r="86" spans="1:6" x14ac:dyDescent="0.25">
      <c r="A86" t="s">
        <v>67</v>
      </c>
      <c r="B86" s="15" t="s">
        <v>187</v>
      </c>
      <c r="C86" s="16">
        <v>33603</v>
      </c>
      <c r="D86" s="17">
        <v>1026</v>
      </c>
      <c r="E86" s="17">
        <v>1026</v>
      </c>
      <c r="F86" s="18">
        <f t="shared" si="1"/>
        <v>0</v>
      </c>
    </row>
    <row r="87" spans="1:6" x14ac:dyDescent="0.25">
      <c r="A87" t="s">
        <v>67</v>
      </c>
      <c r="B87" s="15" t="s">
        <v>187</v>
      </c>
      <c r="C87" s="16">
        <v>33603</v>
      </c>
      <c r="D87" s="17">
        <v>7698</v>
      </c>
      <c r="E87" s="17">
        <v>7698</v>
      </c>
      <c r="F87" s="18">
        <f t="shared" si="1"/>
        <v>0</v>
      </c>
    </row>
    <row r="88" spans="1:6" x14ac:dyDescent="0.25">
      <c r="A88" t="s">
        <v>67</v>
      </c>
      <c r="B88" s="15" t="s">
        <v>188</v>
      </c>
      <c r="C88" s="16">
        <v>33238</v>
      </c>
      <c r="D88" s="17">
        <v>4750</v>
      </c>
      <c r="E88" s="17">
        <v>4750</v>
      </c>
      <c r="F88" s="18">
        <f t="shared" si="1"/>
        <v>0</v>
      </c>
    </row>
    <row r="89" spans="1:6" x14ac:dyDescent="0.25">
      <c r="A89" t="s">
        <v>63</v>
      </c>
      <c r="B89" s="15" t="s">
        <v>189</v>
      </c>
      <c r="C89" s="16">
        <v>34393</v>
      </c>
      <c r="D89" s="17">
        <v>503.73</v>
      </c>
      <c r="E89" s="17">
        <v>503.73</v>
      </c>
      <c r="F89" s="18">
        <f t="shared" si="1"/>
        <v>0</v>
      </c>
    </row>
    <row r="90" spans="1:6" x14ac:dyDescent="0.25">
      <c r="A90" t="s">
        <v>63</v>
      </c>
      <c r="B90" s="15" t="s">
        <v>190</v>
      </c>
      <c r="C90" s="16">
        <v>34393</v>
      </c>
      <c r="D90" s="17">
        <v>520.16</v>
      </c>
      <c r="E90" s="17">
        <v>520.16</v>
      </c>
      <c r="F90" s="18">
        <f t="shared" si="1"/>
        <v>0</v>
      </c>
    </row>
    <row r="91" spans="1:6" x14ac:dyDescent="0.25">
      <c r="A91" t="s">
        <v>70</v>
      </c>
      <c r="B91" s="15" t="s">
        <v>191</v>
      </c>
      <c r="C91" s="16">
        <v>34365</v>
      </c>
      <c r="D91" s="17">
        <v>778.5</v>
      </c>
      <c r="E91" s="17">
        <v>443.89999999999986</v>
      </c>
      <c r="F91" s="18">
        <f t="shared" si="1"/>
        <v>334.60000000000014</v>
      </c>
    </row>
    <row r="92" spans="1:6" x14ac:dyDescent="0.25">
      <c r="A92" t="s">
        <v>67</v>
      </c>
      <c r="B92" s="15" t="s">
        <v>192</v>
      </c>
      <c r="C92" s="16">
        <v>34485</v>
      </c>
      <c r="D92" s="17">
        <v>7502.72</v>
      </c>
      <c r="E92" s="17">
        <v>5345.83</v>
      </c>
      <c r="F92" s="18">
        <f t="shared" si="1"/>
        <v>2156.8900000000003</v>
      </c>
    </row>
    <row r="93" spans="1:6" x14ac:dyDescent="0.25">
      <c r="A93" t="s">
        <v>63</v>
      </c>
      <c r="B93" s="15" t="s">
        <v>193</v>
      </c>
      <c r="C93" s="16">
        <v>33591</v>
      </c>
      <c r="D93" s="17">
        <v>13465</v>
      </c>
      <c r="E93" s="17">
        <v>13465</v>
      </c>
      <c r="F93" s="18">
        <f t="shared" si="1"/>
        <v>0</v>
      </c>
    </row>
    <row r="94" spans="1:6" x14ac:dyDescent="0.25">
      <c r="A94" t="s">
        <v>70</v>
      </c>
      <c r="B94" s="15" t="s">
        <v>194</v>
      </c>
      <c r="C94" s="16">
        <v>34515</v>
      </c>
      <c r="D94" s="17">
        <v>617265</v>
      </c>
      <c r="E94" s="17">
        <v>351841.04999999993</v>
      </c>
      <c r="F94" s="18">
        <f t="shared" si="1"/>
        <v>265423.95000000007</v>
      </c>
    </row>
    <row r="95" spans="1:6" x14ac:dyDescent="0.25">
      <c r="A95" t="s">
        <v>67</v>
      </c>
      <c r="B95" s="15" t="s">
        <v>195</v>
      </c>
      <c r="C95" s="16">
        <v>34638</v>
      </c>
      <c r="D95" s="17">
        <v>1225</v>
      </c>
      <c r="E95" s="17">
        <v>748.71000000000015</v>
      </c>
      <c r="F95" s="18">
        <f t="shared" si="1"/>
        <v>476.28999999999985</v>
      </c>
    </row>
    <row r="96" spans="1:6" x14ac:dyDescent="0.25">
      <c r="A96" t="s">
        <v>70</v>
      </c>
      <c r="B96" s="15" t="s">
        <v>196</v>
      </c>
      <c r="C96" s="16">
        <v>34880</v>
      </c>
      <c r="D96" s="17">
        <v>355072.41</v>
      </c>
      <c r="E96" s="17">
        <v>195289.87000000011</v>
      </c>
      <c r="F96" s="18">
        <f t="shared" si="1"/>
        <v>159782.53999999986</v>
      </c>
    </row>
    <row r="97" spans="1:6" x14ac:dyDescent="0.25">
      <c r="A97" t="s">
        <v>63</v>
      </c>
      <c r="B97" s="15" t="s">
        <v>197</v>
      </c>
      <c r="C97" s="16">
        <v>35124</v>
      </c>
      <c r="D97" s="17">
        <v>2000.56</v>
      </c>
      <c r="E97" s="17">
        <v>2000.56</v>
      </c>
      <c r="F97" s="18">
        <f t="shared" si="1"/>
        <v>0</v>
      </c>
    </row>
    <row r="98" spans="1:6" x14ac:dyDescent="0.25">
      <c r="A98" t="s">
        <v>107</v>
      </c>
      <c r="B98" s="15" t="s">
        <v>198</v>
      </c>
      <c r="C98" s="16">
        <v>29521</v>
      </c>
      <c r="D98" s="17">
        <v>25000</v>
      </c>
      <c r="E98" s="17">
        <v>0</v>
      </c>
      <c r="F98" s="18">
        <f t="shared" si="1"/>
        <v>25000</v>
      </c>
    </row>
    <row r="99" spans="1:6" x14ac:dyDescent="0.25">
      <c r="A99" t="s">
        <v>107</v>
      </c>
      <c r="B99" s="15" t="s">
        <v>199</v>
      </c>
      <c r="C99" s="16">
        <v>34178</v>
      </c>
      <c r="D99" s="17">
        <v>420000</v>
      </c>
      <c r="E99" s="17">
        <v>0</v>
      </c>
      <c r="F99" s="18">
        <f t="shared" si="1"/>
        <v>420000</v>
      </c>
    </row>
    <row r="100" spans="1:6" x14ac:dyDescent="0.25">
      <c r="A100" t="s">
        <v>107</v>
      </c>
      <c r="B100" s="15" t="s">
        <v>112</v>
      </c>
      <c r="C100" s="16">
        <v>20820</v>
      </c>
      <c r="D100" s="17">
        <v>10</v>
      </c>
      <c r="E100" s="17">
        <v>0</v>
      </c>
      <c r="F100" s="18">
        <f t="shared" si="1"/>
        <v>10</v>
      </c>
    </row>
    <row r="101" spans="1:6" x14ac:dyDescent="0.25">
      <c r="A101" s="19" t="s">
        <v>63</v>
      </c>
      <c r="B101" s="15" t="s">
        <v>200</v>
      </c>
      <c r="C101" s="16">
        <v>35193</v>
      </c>
      <c r="D101" s="17">
        <v>6188.04</v>
      </c>
      <c r="E101" s="17">
        <v>6188.04</v>
      </c>
      <c r="F101" s="18">
        <f t="shared" si="1"/>
        <v>0</v>
      </c>
    </row>
    <row r="102" spans="1:6" x14ac:dyDescent="0.25">
      <c r="A102" t="s">
        <v>70</v>
      </c>
      <c r="B102" s="15" t="s">
        <v>201</v>
      </c>
      <c r="C102" s="16">
        <v>35246</v>
      </c>
      <c r="D102" s="17">
        <v>509186.25</v>
      </c>
      <c r="E102" s="17">
        <v>269868.7900000001</v>
      </c>
      <c r="F102" s="18">
        <f t="shared" si="1"/>
        <v>239317.4599999999</v>
      </c>
    </row>
    <row r="103" spans="1:6" x14ac:dyDescent="0.25">
      <c r="A103" t="s">
        <v>63</v>
      </c>
      <c r="B103" s="15" t="s">
        <v>202</v>
      </c>
      <c r="C103" s="16">
        <v>26299</v>
      </c>
      <c r="D103" s="17">
        <v>858</v>
      </c>
      <c r="E103" s="17">
        <v>858</v>
      </c>
      <c r="F103" s="18">
        <f t="shared" si="1"/>
        <v>0</v>
      </c>
    </row>
    <row r="104" spans="1:6" x14ac:dyDescent="0.25">
      <c r="A104" t="s">
        <v>67</v>
      </c>
      <c r="B104" s="15" t="s">
        <v>203</v>
      </c>
      <c r="C104" s="16">
        <v>35338</v>
      </c>
      <c r="D104" s="17">
        <v>2584.5</v>
      </c>
      <c r="E104" s="17">
        <v>1464.6300000000003</v>
      </c>
      <c r="F104" s="18">
        <f t="shared" si="1"/>
        <v>1119.8699999999997</v>
      </c>
    </row>
    <row r="105" spans="1:6" x14ac:dyDescent="0.25">
      <c r="A105" t="s">
        <v>63</v>
      </c>
      <c r="B105" s="15" t="s">
        <v>204</v>
      </c>
      <c r="C105" s="16">
        <v>35489</v>
      </c>
      <c r="D105" s="17">
        <v>2307.1999999999998</v>
      </c>
      <c r="E105" s="17">
        <v>2307.1999999999998</v>
      </c>
      <c r="F105" s="18">
        <f t="shared" si="1"/>
        <v>0</v>
      </c>
    </row>
    <row r="106" spans="1:6" x14ac:dyDescent="0.25">
      <c r="A106" t="s">
        <v>63</v>
      </c>
      <c r="B106" s="15" t="s">
        <v>205</v>
      </c>
      <c r="C106" s="16">
        <v>35520</v>
      </c>
      <c r="D106" s="17">
        <v>1420</v>
      </c>
      <c r="E106" s="17">
        <v>1420</v>
      </c>
      <c r="F106" s="18">
        <f t="shared" si="1"/>
        <v>0</v>
      </c>
    </row>
    <row r="107" spans="1:6" x14ac:dyDescent="0.25">
      <c r="A107" t="s">
        <v>63</v>
      </c>
      <c r="B107" s="15" t="s">
        <v>206</v>
      </c>
      <c r="C107" s="16">
        <v>35520</v>
      </c>
      <c r="D107" s="17">
        <v>1420</v>
      </c>
      <c r="E107" s="17">
        <v>1420</v>
      </c>
      <c r="F107" s="18">
        <f t="shared" si="1"/>
        <v>0</v>
      </c>
    </row>
    <row r="108" spans="1:6" x14ac:dyDescent="0.25">
      <c r="A108" t="s">
        <v>63</v>
      </c>
      <c r="B108" s="15" t="s">
        <v>207</v>
      </c>
      <c r="C108" s="16">
        <v>35520</v>
      </c>
      <c r="D108" s="17">
        <v>1420</v>
      </c>
      <c r="E108" s="17">
        <v>1420</v>
      </c>
      <c r="F108" s="18">
        <f t="shared" si="1"/>
        <v>0</v>
      </c>
    </row>
    <row r="109" spans="1:6" x14ac:dyDescent="0.25">
      <c r="A109" t="s">
        <v>63</v>
      </c>
      <c r="B109" s="15" t="s">
        <v>208</v>
      </c>
      <c r="C109" s="16">
        <v>35520</v>
      </c>
      <c r="D109" s="17">
        <v>1420</v>
      </c>
      <c r="E109" s="17">
        <v>1420</v>
      </c>
      <c r="F109" s="18">
        <f t="shared" si="1"/>
        <v>0</v>
      </c>
    </row>
    <row r="110" spans="1:6" x14ac:dyDescent="0.25">
      <c r="A110" t="s">
        <v>63</v>
      </c>
      <c r="B110" s="15" t="s">
        <v>209</v>
      </c>
      <c r="C110" s="16">
        <v>35520</v>
      </c>
      <c r="D110" s="17">
        <v>1420</v>
      </c>
      <c r="E110" s="17">
        <v>1420</v>
      </c>
      <c r="F110" s="18">
        <f t="shared" si="1"/>
        <v>0</v>
      </c>
    </row>
    <row r="111" spans="1:6" x14ac:dyDescent="0.25">
      <c r="A111" t="s">
        <v>63</v>
      </c>
      <c r="B111" s="15" t="s">
        <v>210</v>
      </c>
      <c r="C111" s="16">
        <v>35520</v>
      </c>
      <c r="D111" s="17">
        <v>1420</v>
      </c>
      <c r="E111" s="17">
        <v>1420</v>
      </c>
      <c r="F111" s="18">
        <f t="shared" si="1"/>
        <v>0</v>
      </c>
    </row>
    <row r="112" spans="1:6" x14ac:dyDescent="0.25">
      <c r="A112" t="s">
        <v>63</v>
      </c>
      <c r="B112" s="15" t="s">
        <v>211</v>
      </c>
      <c r="C112" s="16">
        <v>35520</v>
      </c>
      <c r="D112" s="17">
        <v>1420</v>
      </c>
      <c r="E112" s="17">
        <v>1420</v>
      </c>
      <c r="F112" s="18">
        <f t="shared" si="1"/>
        <v>0</v>
      </c>
    </row>
    <row r="113" spans="1:6" x14ac:dyDescent="0.25">
      <c r="A113" t="s">
        <v>63</v>
      </c>
      <c r="B113" s="15" t="s">
        <v>212</v>
      </c>
      <c r="C113" s="16">
        <v>35901</v>
      </c>
      <c r="D113" s="17">
        <v>2765</v>
      </c>
      <c r="E113" s="17">
        <v>2765</v>
      </c>
      <c r="F113" s="18">
        <f t="shared" si="1"/>
        <v>0</v>
      </c>
    </row>
    <row r="114" spans="1:6" x14ac:dyDescent="0.25">
      <c r="A114" t="s">
        <v>63</v>
      </c>
      <c r="B114" s="15" t="s">
        <v>212</v>
      </c>
      <c r="C114" s="16">
        <v>35901</v>
      </c>
      <c r="D114" s="17">
        <v>2765</v>
      </c>
      <c r="E114" s="17">
        <v>2765</v>
      </c>
      <c r="F114" s="18">
        <f t="shared" si="1"/>
        <v>0</v>
      </c>
    </row>
    <row r="115" spans="1:6" x14ac:dyDescent="0.25">
      <c r="A115" t="s">
        <v>63</v>
      </c>
      <c r="B115" s="15" t="s">
        <v>212</v>
      </c>
      <c r="C115" s="16">
        <v>35901</v>
      </c>
      <c r="D115" s="17">
        <v>3415</v>
      </c>
      <c r="E115" s="17">
        <v>3415</v>
      </c>
      <c r="F115" s="18">
        <f t="shared" si="1"/>
        <v>0</v>
      </c>
    </row>
    <row r="116" spans="1:6" x14ac:dyDescent="0.25">
      <c r="A116" t="s">
        <v>63</v>
      </c>
      <c r="B116" s="15" t="s">
        <v>213</v>
      </c>
      <c r="C116" s="16">
        <v>35948</v>
      </c>
      <c r="D116" s="17">
        <v>2907</v>
      </c>
      <c r="E116" s="17">
        <v>2907</v>
      </c>
      <c r="F116" s="18">
        <f t="shared" si="1"/>
        <v>0</v>
      </c>
    </row>
    <row r="117" spans="1:6" x14ac:dyDescent="0.25">
      <c r="A117" t="s">
        <v>63</v>
      </c>
      <c r="B117" s="15" t="s">
        <v>214</v>
      </c>
      <c r="C117" s="16">
        <v>35976</v>
      </c>
      <c r="D117" s="17">
        <v>3564</v>
      </c>
      <c r="E117" s="17">
        <v>3564</v>
      </c>
      <c r="F117" s="18">
        <f t="shared" si="1"/>
        <v>0</v>
      </c>
    </row>
    <row r="118" spans="1:6" x14ac:dyDescent="0.25">
      <c r="A118" t="s">
        <v>67</v>
      </c>
      <c r="B118" s="15" t="s">
        <v>215</v>
      </c>
      <c r="C118" s="16">
        <v>35976</v>
      </c>
      <c r="D118" s="17">
        <v>387977.76</v>
      </c>
      <c r="E118" s="17">
        <v>316848.59999999992</v>
      </c>
      <c r="F118" s="18">
        <f t="shared" si="1"/>
        <v>71129.160000000091</v>
      </c>
    </row>
    <row r="119" spans="1:6" x14ac:dyDescent="0.25">
      <c r="A119" t="s">
        <v>63</v>
      </c>
      <c r="B119" s="15" t="s">
        <v>216</v>
      </c>
      <c r="C119" s="16">
        <v>35976</v>
      </c>
      <c r="D119" s="17">
        <v>72258.259999999995</v>
      </c>
      <c r="E119" s="17">
        <v>72258.259999999995</v>
      </c>
      <c r="F119" s="18">
        <f t="shared" si="1"/>
        <v>0</v>
      </c>
    </row>
    <row r="120" spans="1:6" x14ac:dyDescent="0.25">
      <c r="A120" t="s">
        <v>67</v>
      </c>
      <c r="B120" s="15" t="s">
        <v>217</v>
      </c>
      <c r="C120" s="16">
        <v>35976</v>
      </c>
      <c r="D120" s="17">
        <v>36201.94</v>
      </c>
      <c r="E120" s="17">
        <v>19710.09</v>
      </c>
      <c r="F120" s="18">
        <f t="shared" si="1"/>
        <v>16491.850000000002</v>
      </c>
    </row>
    <row r="121" spans="1:6" x14ac:dyDescent="0.25">
      <c r="A121" t="s">
        <v>70</v>
      </c>
      <c r="B121" s="15" t="s">
        <v>218</v>
      </c>
      <c r="C121" s="16">
        <v>35976</v>
      </c>
      <c r="D121" s="17">
        <v>90500.800000000003</v>
      </c>
      <c r="E121" s="17">
        <v>44345.449999999983</v>
      </c>
      <c r="F121" s="18">
        <f t="shared" si="1"/>
        <v>46155.35000000002</v>
      </c>
    </row>
    <row r="122" spans="1:6" x14ac:dyDescent="0.25">
      <c r="A122" t="s">
        <v>63</v>
      </c>
      <c r="B122" s="15" t="s">
        <v>219</v>
      </c>
      <c r="C122" s="16">
        <v>36000</v>
      </c>
      <c r="D122" s="17">
        <v>1629</v>
      </c>
      <c r="E122" s="17">
        <v>1629</v>
      </c>
      <c r="F122" s="18">
        <f t="shared" si="1"/>
        <v>0</v>
      </c>
    </row>
    <row r="123" spans="1:6" x14ac:dyDescent="0.25">
      <c r="A123" t="s">
        <v>63</v>
      </c>
      <c r="B123" s="15" t="s">
        <v>220</v>
      </c>
      <c r="C123" s="16">
        <v>36014</v>
      </c>
      <c r="D123" s="17">
        <v>1629</v>
      </c>
      <c r="E123" s="17">
        <v>1629</v>
      </c>
      <c r="F123" s="18">
        <f t="shared" si="1"/>
        <v>0</v>
      </c>
    </row>
    <row r="124" spans="1:6" x14ac:dyDescent="0.25">
      <c r="A124" t="s">
        <v>63</v>
      </c>
      <c r="B124" s="15" t="s">
        <v>221</v>
      </c>
      <c r="C124" s="16">
        <v>36043</v>
      </c>
      <c r="D124" s="17">
        <v>1190.8499999999999</v>
      </c>
      <c r="E124" s="17">
        <v>1190.8500000000001</v>
      </c>
      <c r="F124" s="18">
        <f t="shared" si="1"/>
        <v>0</v>
      </c>
    </row>
    <row r="125" spans="1:6" x14ac:dyDescent="0.25">
      <c r="A125" t="s">
        <v>67</v>
      </c>
      <c r="B125" s="15" t="s">
        <v>222</v>
      </c>
      <c r="C125" s="16">
        <v>36217</v>
      </c>
      <c r="D125" s="17">
        <v>7913</v>
      </c>
      <c r="E125" s="17">
        <v>7913</v>
      </c>
      <c r="F125" s="18">
        <f t="shared" si="1"/>
        <v>0</v>
      </c>
    </row>
    <row r="126" spans="1:6" x14ac:dyDescent="0.25">
      <c r="A126" t="s">
        <v>70</v>
      </c>
      <c r="B126" s="15" t="s">
        <v>223</v>
      </c>
      <c r="C126" s="16">
        <v>36341</v>
      </c>
      <c r="D126" s="17">
        <v>60161.99</v>
      </c>
      <c r="E126" s="17">
        <v>28276.29</v>
      </c>
      <c r="F126" s="18">
        <f t="shared" si="1"/>
        <v>31885.699999999997</v>
      </c>
    </row>
    <row r="127" spans="1:6" x14ac:dyDescent="0.25">
      <c r="A127" t="s">
        <v>67</v>
      </c>
      <c r="B127" s="15" t="s">
        <v>224</v>
      </c>
      <c r="C127" s="16">
        <v>36341</v>
      </c>
      <c r="D127" s="17">
        <v>29297.51</v>
      </c>
      <c r="E127" s="17">
        <v>29297.51</v>
      </c>
      <c r="F127" s="18">
        <f t="shared" si="1"/>
        <v>0</v>
      </c>
    </row>
    <row r="128" spans="1:6" x14ac:dyDescent="0.25">
      <c r="A128" t="s">
        <v>63</v>
      </c>
      <c r="B128" s="15" t="s">
        <v>225</v>
      </c>
      <c r="C128" s="16">
        <v>36433</v>
      </c>
      <c r="D128" s="17">
        <v>28222.35</v>
      </c>
      <c r="E128" s="17">
        <v>28222.350000000002</v>
      </c>
      <c r="F128" s="18">
        <f t="shared" si="1"/>
        <v>0</v>
      </c>
    </row>
    <row r="129" spans="1:6" x14ac:dyDescent="0.25">
      <c r="A129" t="s">
        <v>63</v>
      </c>
      <c r="B129" s="15" t="s">
        <v>226</v>
      </c>
      <c r="C129" s="16">
        <v>36557</v>
      </c>
      <c r="D129" s="17">
        <v>4484.84</v>
      </c>
      <c r="E129" s="17">
        <v>4484.84</v>
      </c>
      <c r="F129" s="18">
        <f t="shared" si="1"/>
        <v>0</v>
      </c>
    </row>
    <row r="130" spans="1:6" x14ac:dyDescent="0.25">
      <c r="A130" t="s">
        <v>63</v>
      </c>
      <c r="B130" s="15" t="s">
        <v>227</v>
      </c>
      <c r="C130" s="16">
        <v>36644</v>
      </c>
      <c r="D130" s="17">
        <v>7250</v>
      </c>
      <c r="E130" s="17">
        <v>7250</v>
      </c>
      <c r="F130" s="18">
        <f t="shared" si="1"/>
        <v>0</v>
      </c>
    </row>
    <row r="131" spans="1:6" x14ac:dyDescent="0.25">
      <c r="A131" t="s">
        <v>63</v>
      </c>
      <c r="B131" s="15" t="s">
        <v>228</v>
      </c>
      <c r="C131" s="16">
        <v>36364</v>
      </c>
      <c r="D131" s="17">
        <v>1686.25</v>
      </c>
      <c r="E131" s="17">
        <v>1686.25</v>
      </c>
      <c r="F131" s="18">
        <f t="shared" si="1"/>
        <v>0</v>
      </c>
    </row>
    <row r="132" spans="1:6" x14ac:dyDescent="0.25">
      <c r="A132" t="s">
        <v>63</v>
      </c>
      <c r="B132" s="15" t="s">
        <v>229</v>
      </c>
      <c r="C132" s="16">
        <v>36364</v>
      </c>
      <c r="D132" s="17">
        <v>1686.25</v>
      </c>
      <c r="E132" s="17">
        <v>1686.25</v>
      </c>
      <c r="F132" s="18">
        <f t="shared" si="1"/>
        <v>0</v>
      </c>
    </row>
    <row r="133" spans="1:6" x14ac:dyDescent="0.25">
      <c r="A133" t="s">
        <v>63</v>
      </c>
      <c r="B133" s="15" t="s">
        <v>230</v>
      </c>
      <c r="C133" s="16">
        <v>36535</v>
      </c>
      <c r="D133" s="17">
        <v>5824</v>
      </c>
      <c r="E133" s="17">
        <v>5824</v>
      </c>
      <c r="F133" s="18">
        <f t="shared" ref="F133:F196" si="2">+D133-E133</f>
        <v>0</v>
      </c>
    </row>
    <row r="134" spans="1:6" x14ac:dyDescent="0.25">
      <c r="A134" t="s">
        <v>63</v>
      </c>
      <c r="B134" s="15" t="s">
        <v>231</v>
      </c>
      <c r="C134" s="16">
        <v>36535</v>
      </c>
      <c r="D134" s="17">
        <v>5148</v>
      </c>
      <c r="E134" s="17">
        <v>5148</v>
      </c>
      <c r="F134" s="18">
        <f t="shared" si="2"/>
        <v>0</v>
      </c>
    </row>
    <row r="135" spans="1:6" x14ac:dyDescent="0.25">
      <c r="A135" t="s">
        <v>63</v>
      </c>
      <c r="B135" s="15" t="s">
        <v>232</v>
      </c>
      <c r="C135" s="16">
        <v>36535</v>
      </c>
      <c r="D135" s="17">
        <v>2250</v>
      </c>
      <c r="E135" s="17">
        <v>2250</v>
      </c>
      <c r="F135" s="18">
        <f t="shared" si="2"/>
        <v>0</v>
      </c>
    </row>
    <row r="136" spans="1:6" x14ac:dyDescent="0.25">
      <c r="A136" t="s">
        <v>70</v>
      </c>
      <c r="B136" s="15" t="s">
        <v>233</v>
      </c>
      <c r="C136" s="16">
        <v>36707</v>
      </c>
      <c r="D136" s="17">
        <v>90508.19</v>
      </c>
      <c r="E136" s="17">
        <v>40728.779999999984</v>
      </c>
      <c r="F136" s="18">
        <f t="shared" si="2"/>
        <v>49779.410000000018</v>
      </c>
    </row>
    <row r="137" spans="1:6" x14ac:dyDescent="0.25">
      <c r="A137" s="19" t="s">
        <v>63</v>
      </c>
      <c r="B137" s="15" t="s">
        <v>234</v>
      </c>
      <c r="C137" s="16">
        <v>36314</v>
      </c>
      <c r="D137" s="17">
        <v>4962.5</v>
      </c>
      <c r="E137" s="17">
        <v>4962.5</v>
      </c>
      <c r="F137" s="18">
        <f t="shared" si="2"/>
        <v>0</v>
      </c>
    </row>
    <row r="138" spans="1:6" x14ac:dyDescent="0.25">
      <c r="A138" t="s">
        <v>63</v>
      </c>
      <c r="B138" s="15" t="s">
        <v>235</v>
      </c>
      <c r="C138" s="16">
        <v>36789</v>
      </c>
      <c r="D138" s="17">
        <v>11321.36</v>
      </c>
      <c r="E138" s="17">
        <v>11321.36</v>
      </c>
      <c r="F138" s="18">
        <f t="shared" si="2"/>
        <v>0</v>
      </c>
    </row>
    <row r="139" spans="1:6" x14ac:dyDescent="0.25">
      <c r="A139" t="s">
        <v>63</v>
      </c>
      <c r="B139" s="15" t="s">
        <v>236</v>
      </c>
      <c r="C139" s="16">
        <v>36804</v>
      </c>
      <c r="D139" s="17">
        <v>10000</v>
      </c>
      <c r="E139" s="17">
        <v>10000</v>
      </c>
      <c r="F139" s="18">
        <f t="shared" si="2"/>
        <v>0</v>
      </c>
    </row>
    <row r="140" spans="1:6" x14ac:dyDescent="0.25">
      <c r="A140" t="s">
        <v>63</v>
      </c>
      <c r="B140" s="15" t="s">
        <v>237</v>
      </c>
      <c r="C140" s="16">
        <v>36830</v>
      </c>
      <c r="D140" s="17">
        <v>2925</v>
      </c>
      <c r="E140" s="17">
        <v>2925</v>
      </c>
      <c r="F140" s="18">
        <f t="shared" si="2"/>
        <v>0</v>
      </c>
    </row>
    <row r="141" spans="1:6" x14ac:dyDescent="0.25">
      <c r="A141" s="19" t="s">
        <v>63</v>
      </c>
      <c r="B141" s="15" t="s">
        <v>238</v>
      </c>
      <c r="C141" s="16">
        <v>36910</v>
      </c>
      <c r="D141" s="17">
        <v>17060</v>
      </c>
      <c r="E141" s="17">
        <v>17060</v>
      </c>
      <c r="F141" s="18">
        <f t="shared" si="2"/>
        <v>0</v>
      </c>
    </row>
    <row r="142" spans="1:6" x14ac:dyDescent="0.25">
      <c r="A142" t="s">
        <v>63</v>
      </c>
      <c r="B142" s="15" t="s">
        <v>239</v>
      </c>
      <c r="C142" s="16">
        <v>37019</v>
      </c>
      <c r="D142" s="17">
        <v>6200</v>
      </c>
      <c r="E142" s="17">
        <v>6200</v>
      </c>
      <c r="F142" s="18">
        <f t="shared" si="2"/>
        <v>0</v>
      </c>
    </row>
    <row r="143" spans="1:6" x14ac:dyDescent="0.25">
      <c r="A143" t="s">
        <v>63</v>
      </c>
      <c r="B143" s="15" t="s">
        <v>240</v>
      </c>
      <c r="C143" s="16">
        <v>37019</v>
      </c>
      <c r="D143" s="17">
        <v>6200</v>
      </c>
      <c r="E143" s="17">
        <v>6200</v>
      </c>
      <c r="F143" s="18">
        <f t="shared" si="2"/>
        <v>0</v>
      </c>
    </row>
    <row r="144" spans="1:6" x14ac:dyDescent="0.25">
      <c r="A144" t="s">
        <v>70</v>
      </c>
      <c r="B144" s="15" t="s">
        <v>241</v>
      </c>
      <c r="C144" s="16">
        <v>37072</v>
      </c>
      <c r="D144" s="17">
        <v>86363.23</v>
      </c>
      <c r="E144" s="17">
        <v>37136.269999999997</v>
      </c>
      <c r="F144" s="18">
        <f t="shared" si="2"/>
        <v>49226.96</v>
      </c>
    </row>
    <row r="145" spans="1:6" x14ac:dyDescent="0.25">
      <c r="A145" t="s">
        <v>63</v>
      </c>
      <c r="B145" s="15" t="s">
        <v>242</v>
      </c>
      <c r="C145" s="16">
        <v>37072</v>
      </c>
      <c r="D145" s="17">
        <v>20433.64</v>
      </c>
      <c r="E145" s="17">
        <v>20433.640000000003</v>
      </c>
      <c r="F145" s="18">
        <f t="shared" si="2"/>
        <v>0</v>
      </c>
    </row>
    <row r="146" spans="1:6" x14ac:dyDescent="0.25">
      <c r="A146" t="s">
        <v>107</v>
      </c>
      <c r="B146" s="15" t="s">
        <v>243</v>
      </c>
      <c r="C146" s="16">
        <v>36782</v>
      </c>
      <c r="D146" s="17">
        <v>320069.59000000003</v>
      </c>
      <c r="E146" s="17">
        <v>0</v>
      </c>
      <c r="F146" s="18">
        <f t="shared" si="2"/>
        <v>320069.59000000003</v>
      </c>
    </row>
    <row r="147" spans="1:6" x14ac:dyDescent="0.25">
      <c r="A147" t="s">
        <v>63</v>
      </c>
      <c r="B147" s="15" t="s">
        <v>244</v>
      </c>
      <c r="C147" s="16">
        <v>37056</v>
      </c>
      <c r="D147" s="17">
        <v>15710</v>
      </c>
      <c r="E147" s="17">
        <v>15710</v>
      </c>
      <c r="F147" s="18">
        <f t="shared" si="2"/>
        <v>0</v>
      </c>
    </row>
    <row r="148" spans="1:6" x14ac:dyDescent="0.25">
      <c r="A148" t="s">
        <v>63</v>
      </c>
      <c r="B148" s="15" t="s">
        <v>245</v>
      </c>
      <c r="C148" s="16">
        <v>37072</v>
      </c>
      <c r="D148" s="17">
        <v>17394</v>
      </c>
      <c r="E148" s="17">
        <v>17394</v>
      </c>
      <c r="F148" s="18">
        <f t="shared" si="2"/>
        <v>0</v>
      </c>
    </row>
    <row r="149" spans="1:6" x14ac:dyDescent="0.25">
      <c r="A149" s="19" t="s">
        <v>63</v>
      </c>
      <c r="B149" s="15" t="s">
        <v>246</v>
      </c>
      <c r="C149" s="16">
        <v>37194</v>
      </c>
      <c r="D149" s="17">
        <v>6675</v>
      </c>
      <c r="E149" s="17">
        <v>6675</v>
      </c>
      <c r="F149" s="18">
        <f t="shared" si="2"/>
        <v>0</v>
      </c>
    </row>
    <row r="150" spans="1:6" x14ac:dyDescent="0.25">
      <c r="A150" t="s">
        <v>63</v>
      </c>
      <c r="B150" s="15" t="s">
        <v>247</v>
      </c>
      <c r="C150" s="16">
        <v>37189</v>
      </c>
      <c r="D150" s="17">
        <v>10836</v>
      </c>
      <c r="E150" s="17">
        <v>10836</v>
      </c>
      <c r="F150" s="18">
        <f t="shared" si="2"/>
        <v>0</v>
      </c>
    </row>
    <row r="151" spans="1:6" x14ac:dyDescent="0.25">
      <c r="A151" t="s">
        <v>63</v>
      </c>
      <c r="B151" s="15" t="s">
        <v>248</v>
      </c>
      <c r="C151" s="16">
        <v>37189</v>
      </c>
      <c r="D151" s="17">
        <v>17010.939999999999</v>
      </c>
      <c r="E151" s="17">
        <v>17010.939999999999</v>
      </c>
      <c r="F151" s="18">
        <f t="shared" si="2"/>
        <v>0</v>
      </c>
    </row>
    <row r="152" spans="1:6" x14ac:dyDescent="0.25">
      <c r="A152" s="19" t="s">
        <v>63</v>
      </c>
      <c r="B152" s="15" t="s">
        <v>249</v>
      </c>
      <c r="C152" s="16">
        <v>37225</v>
      </c>
      <c r="D152" s="17">
        <v>4316.25</v>
      </c>
      <c r="E152" s="17">
        <v>4316.25</v>
      </c>
      <c r="F152" s="18">
        <f t="shared" si="2"/>
        <v>0</v>
      </c>
    </row>
    <row r="153" spans="1:6" x14ac:dyDescent="0.25">
      <c r="A153" t="s">
        <v>63</v>
      </c>
      <c r="B153" s="15" t="s">
        <v>250</v>
      </c>
      <c r="C153" s="16">
        <v>37421</v>
      </c>
      <c r="D153" s="17">
        <v>7900</v>
      </c>
      <c r="E153" s="17">
        <v>7900</v>
      </c>
      <c r="F153" s="18">
        <f t="shared" si="2"/>
        <v>0</v>
      </c>
    </row>
    <row r="154" spans="1:6" x14ac:dyDescent="0.25">
      <c r="A154" t="s">
        <v>63</v>
      </c>
      <c r="B154" s="15" t="s">
        <v>251</v>
      </c>
      <c r="C154" s="16">
        <v>37421</v>
      </c>
      <c r="D154" s="17">
        <v>7900</v>
      </c>
      <c r="E154" s="17">
        <v>7900</v>
      </c>
      <c r="F154" s="18">
        <f t="shared" si="2"/>
        <v>0</v>
      </c>
    </row>
    <row r="155" spans="1:6" x14ac:dyDescent="0.25">
      <c r="A155" t="s">
        <v>63</v>
      </c>
      <c r="B155" s="15" t="s">
        <v>252</v>
      </c>
      <c r="C155" s="16">
        <v>37437</v>
      </c>
      <c r="D155" s="17">
        <v>6053.48</v>
      </c>
      <c r="E155" s="17">
        <v>6053.48</v>
      </c>
      <c r="F155" s="18">
        <f t="shared" si="2"/>
        <v>0</v>
      </c>
    </row>
    <row r="156" spans="1:6" x14ac:dyDescent="0.25">
      <c r="A156" t="s">
        <v>63</v>
      </c>
      <c r="B156" s="15" t="s">
        <v>253</v>
      </c>
      <c r="C156" s="16">
        <v>37437</v>
      </c>
      <c r="D156" s="17">
        <v>18104.93</v>
      </c>
      <c r="E156" s="17">
        <v>18104.93</v>
      </c>
      <c r="F156" s="18">
        <f t="shared" si="2"/>
        <v>0</v>
      </c>
    </row>
    <row r="157" spans="1:6" x14ac:dyDescent="0.25">
      <c r="A157" t="s">
        <v>67</v>
      </c>
      <c r="B157" s="15" t="s">
        <v>254</v>
      </c>
      <c r="C157" s="16">
        <v>37437</v>
      </c>
      <c r="D157" s="17">
        <v>26989</v>
      </c>
      <c r="E157" s="17">
        <v>26989</v>
      </c>
      <c r="F157" s="18">
        <f t="shared" si="2"/>
        <v>0</v>
      </c>
    </row>
    <row r="158" spans="1:6" x14ac:dyDescent="0.25">
      <c r="A158" t="s">
        <v>67</v>
      </c>
      <c r="B158" s="15" t="s">
        <v>255</v>
      </c>
      <c r="C158" s="16">
        <v>37437</v>
      </c>
      <c r="D158" s="17">
        <v>45384.93</v>
      </c>
      <c r="E158" s="17">
        <v>45384.930000000008</v>
      </c>
      <c r="F158" s="18">
        <f t="shared" si="2"/>
        <v>0</v>
      </c>
    </row>
    <row r="159" spans="1:6" x14ac:dyDescent="0.25">
      <c r="A159" t="s">
        <v>63</v>
      </c>
      <c r="B159" s="15" t="s">
        <v>256</v>
      </c>
      <c r="C159" s="16">
        <v>37437</v>
      </c>
      <c r="D159" s="17">
        <v>10500</v>
      </c>
      <c r="E159" s="17">
        <v>10500</v>
      </c>
      <c r="F159" s="18">
        <f t="shared" si="2"/>
        <v>0</v>
      </c>
    </row>
    <row r="160" spans="1:6" x14ac:dyDescent="0.25">
      <c r="A160" t="s">
        <v>70</v>
      </c>
      <c r="B160" s="15" t="s">
        <v>257</v>
      </c>
      <c r="C160" s="16">
        <v>37437</v>
      </c>
      <c r="D160" s="17">
        <v>520171.05</v>
      </c>
      <c r="E160" s="17">
        <v>213270.1700000001</v>
      </c>
      <c r="F160" s="18">
        <f t="shared" si="2"/>
        <v>306900.87999999989</v>
      </c>
    </row>
    <row r="161" spans="1:6" x14ac:dyDescent="0.25">
      <c r="A161" t="s">
        <v>67</v>
      </c>
      <c r="B161" s="15" t="s">
        <v>258</v>
      </c>
      <c r="C161" s="16">
        <v>37437</v>
      </c>
      <c r="D161" s="17">
        <v>539885.46</v>
      </c>
      <c r="E161" s="17">
        <v>245947.88999999993</v>
      </c>
      <c r="F161" s="18">
        <f t="shared" si="2"/>
        <v>293937.57000000007</v>
      </c>
    </row>
    <row r="162" spans="1:6" x14ac:dyDescent="0.25">
      <c r="A162" t="s">
        <v>63</v>
      </c>
      <c r="B162" s="15" t="s">
        <v>259</v>
      </c>
      <c r="C162" s="16">
        <v>37509</v>
      </c>
      <c r="D162" s="17">
        <v>6200</v>
      </c>
      <c r="E162" s="17">
        <v>6200.0000000000009</v>
      </c>
      <c r="F162" s="18">
        <f t="shared" si="2"/>
        <v>0</v>
      </c>
    </row>
    <row r="163" spans="1:6" x14ac:dyDescent="0.25">
      <c r="A163" t="s">
        <v>63</v>
      </c>
      <c r="B163" s="15" t="s">
        <v>260</v>
      </c>
      <c r="C163" s="16">
        <v>37477</v>
      </c>
      <c r="D163" s="17">
        <v>5956</v>
      </c>
      <c r="E163" s="17">
        <v>5956</v>
      </c>
      <c r="F163" s="18">
        <f t="shared" si="2"/>
        <v>0</v>
      </c>
    </row>
    <row r="164" spans="1:6" x14ac:dyDescent="0.25">
      <c r="A164" s="19" t="s">
        <v>63</v>
      </c>
      <c r="B164" s="15" t="s">
        <v>261</v>
      </c>
      <c r="C164" s="16">
        <v>37742</v>
      </c>
      <c r="D164" s="17">
        <v>4825</v>
      </c>
      <c r="E164" s="17">
        <v>4825</v>
      </c>
      <c r="F164" s="18">
        <f t="shared" si="2"/>
        <v>0</v>
      </c>
    </row>
    <row r="165" spans="1:6" x14ac:dyDescent="0.25">
      <c r="A165" t="s">
        <v>70</v>
      </c>
      <c r="B165" s="15" t="s">
        <v>262</v>
      </c>
      <c r="C165" s="16">
        <v>37802</v>
      </c>
      <c r="D165" s="17">
        <v>2646218</v>
      </c>
      <c r="E165" s="17">
        <v>1032025.0199999999</v>
      </c>
      <c r="F165" s="18">
        <f t="shared" si="2"/>
        <v>1614192.98</v>
      </c>
    </row>
    <row r="166" spans="1:6" x14ac:dyDescent="0.25">
      <c r="A166" t="s">
        <v>63</v>
      </c>
      <c r="B166" s="15" t="s">
        <v>263</v>
      </c>
      <c r="C166" s="16">
        <v>37802</v>
      </c>
      <c r="D166" s="17">
        <v>50302</v>
      </c>
      <c r="E166" s="17">
        <v>49044.44999999999</v>
      </c>
      <c r="F166" s="18">
        <f t="shared" si="2"/>
        <v>1257.5500000000102</v>
      </c>
    </row>
    <row r="167" spans="1:6" x14ac:dyDescent="0.25">
      <c r="A167" t="s">
        <v>63</v>
      </c>
      <c r="B167" s="15" t="s">
        <v>264</v>
      </c>
      <c r="C167" s="16">
        <v>37802</v>
      </c>
      <c r="D167" s="17">
        <v>50302</v>
      </c>
      <c r="E167" s="17">
        <v>49044.44999999999</v>
      </c>
      <c r="F167" s="18">
        <f t="shared" si="2"/>
        <v>1257.5500000000102</v>
      </c>
    </row>
    <row r="168" spans="1:6" x14ac:dyDescent="0.25">
      <c r="A168" t="s">
        <v>63</v>
      </c>
      <c r="B168" s="15" t="s">
        <v>265</v>
      </c>
      <c r="C168" s="16">
        <v>37802</v>
      </c>
      <c r="D168" s="17">
        <v>114002</v>
      </c>
      <c r="E168" s="17">
        <v>111151.95000000006</v>
      </c>
      <c r="F168" s="18">
        <f t="shared" si="2"/>
        <v>2850.0499999999447</v>
      </c>
    </row>
    <row r="169" spans="1:6" x14ac:dyDescent="0.25">
      <c r="A169" t="s">
        <v>67</v>
      </c>
      <c r="B169" s="15" t="s">
        <v>266</v>
      </c>
      <c r="C169" s="16">
        <v>37802</v>
      </c>
      <c r="D169" s="17">
        <v>461449</v>
      </c>
      <c r="E169" s="17">
        <v>461449</v>
      </c>
      <c r="F169" s="18">
        <f t="shared" si="2"/>
        <v>0</v>
      </c>
    </row>
    <row r="170" spans="1:6" x14ac:dyDescent="0.25">
      <c r="A170" t="s">
        <v>67</v>
      </c>
      <c r="B170" s="15" t="s">
        <v>267</v>
      </c>
      <c r="C170" s="16">
        <v>37802</v>
      </c>
      <c r="D170" s="17">
        <v>127066</v>
      </c>
      <c r="E170" s="17">
        <v>127066</v>
      </c>
      <c r="F170" s="18">
        <f t="shared" si="2"/>
        <v>0</v>
      </c>
    </row>
    <row r="171" spans="1:6" x14ac:dyDescent="0.25">
      <c r="A171" t="s">
        <v>63</v>
      </c>
      <c r="B171" s="15" t="s">
        <v>268</v>
      </c>
      <c r="C171" s="16">
        <v>37802</v>
      </c>
      <c r="D171" s="17">
        <v>20803</v>
      </c>
      <c r="E171" s="17">
        <v>20803</v>
      </c>
      <c r="F171" s="18">
        <f t="shared" si="2"/>
        <v>0</v>
      </c>
    </row>
    <row r="172" spans="1:6" x14ac:dyDescent="0.25">
      <c r="A172" t="s">
        <v>63</v>
      </c>
      <c r="B172" s="15" t="s">
        <v>269</v>
      </c>
      <c r="C172" s="16">
        <v>37802</v>
      </c>
      <c r="D172" s="17">
        <v>20803</v>
      </c>
      <c r="E172" s="17">
        <v>20803</v>
      </c>
      <c r="F172" s="18">
        <f t="shared" si="2"/>
        <v>0</v>
      </c>
    </row>
    <row r="173" spans="1:6" x14ac:dyDescent="0.25">
      <c r="A173" t="s">
        <v>63</v>
      </c>
      <c r="B173" s="15" t="s">
        <v>270</v>
      </c>
      <c r="C173" s="16">
        <v>37802</v>
      </c>
      <c r="D173" s="17">
        <v>20803</v>
      </c>
      <c r="E173" s="17">
        <v>20803</v>
      </c>
      <c r="F173" s="18">
        <f t="shared" si="2"/>
        <v>0</v>
      </c>
    </row>
    <row r="174" spans="1:6" x14ac:dyDescent="0.25">
      <c r="A174" t="s">
        <v>63</v>
      </c>
      <c r="B174" s="15" t="s">
        <v>271</v>
      </c>
      <c r="C174" s="16">
        <v>37802</v>
      </c>
      <c r="D174" s="17">
        <v>20803</v>
      </c>
      <c r="E174" s="17">
        <v>20803</v>
      </c>
      <c r="F174" s="18">
        <f t="shared" si="2"/>
        <v>0</v>
      </c>
    </row>
    <row r="175" spans="1:6" x14ac:dyDescent="0.25">
      <c r="A175" t="s">
        <v>107</v>
      </c>
      <c r="B175" s="15" t="s">
        <v>272</v>
      </c>
      <c r="C175" s="16">
        <v>37802</v>
      </c>
      <c r="D175" s="17">
        <v>74060</v>
      </c>
      <c r="E175" s="17">
        <v>0</v>
      </c>
      <c r="F175" s="18">
        <f t="shared" si="2"/>
        <v>74060</v>
      </c>
    </row>
    <row r="176" spans="1:6" x14ac:dyDescent="0.25">
      <c r="A176" t="s">
        <v>70</v>
      </c>
      <c r="B176" s="15" t="s">
        <v>273</v>
      </c>
      <c r="C176" s="16">
        <v>36341</v>
      </c>
      <c r="D176" s="17">
        <v>215625</v>
      </c>
      <c r="E176" s="17">
        <v>215625</v>
      </c>
      <c r="F176" s="18">
        <f t="shared" si="2"/>
        <v>0</v>
      </c>
    </row>
    <row r="177" spans="1:6" x14ac:dyDescent="0.25">
      <c r="A177" t="s">
        <v>70</v>
      </c>
      <c r="B177" s="15" t="s">
        <v>274</v>
      </c>
      <c r="C177" s="16">
        <v>36707</v>
      </c>
      <c r="D177" s="17">
        <v>94575</v>
      </c>
      <c r="E177" s="17">
        <v>94575</v>
      </c>
      <c r="F177" s="18">
        <f t="shared" si="2"/>
        <v>0</v>
      </c>
    </row>
    <row r="178" spans="1:6" x14ac:dyDescent="0.25">
      <c r="A178" t="s">
        <v>70</v>
      </c>
      <c r="B178" s="15" t="s">
        <v>275</v>
      </c>
      <c r="C178" s="16">
        <v>37072</v>
      </c>
      <c r="D178" s="17">
        <v>362400</v>
      </c>
      <c r="E178" s="17">
        <v>362400</v>
      </c>
      <c r="F178" s="18">
        <f t="shared" si="2"/>
        <v>0</v>
      </c>
    </row>
    <row r="179" spans="1:6" x14ac:dyDescent="0.25">
      <c r="A179" t="s">
        <v>70</v>
      </c>
      <c r="B179" s="15" t="s">
        <v>276</v>
      </c>
      <c r="C179" s="16">
        <v>37437</v>
      </c>
      <c r="D179" s="17">
        <v>144225</v>
      </c>
      <c r="E179" s="17">
        <v>144225</v>
      </c>
      <c r="F179" s="18">
        <f t="shared" si="2"/>
        <v>0</v>
      </c>
    </row>
    <row r="180" spans="1:6" x14ac:dyDescent="0.25">
      <c r="A180" s="19" t="s">
        <v>63</v>
      </c>
      <c r="B180" s="15" t="s">
        <v>277</v>
      </c>
      <c r="C180" s="16">
        <v>42048</v>
      </c>
      <c r="D180" s="17">
        <v>2103.88</v>
      </c>
      <c r="E180" s="17">
        <v>2103.88</v>
      </c>
      <c r="F180" s="18">
        <f t="shared" si="2"/>
        <v>0</v>
      </c>
    </row>
    <row r="181" spans="1:6" x14ac:dyDescent="0.25">
      <c r="A181" t="s">
        <v>63</v>
      </c>
      <c r="B181" s="15" t="s">
        <v>278</v>
      </c>
      <c r="C181" s="16">
        <v>37966</v>
      </c>
      <c r="D181" s="17">
        <v>7057</v>
      </c>
      <c r="E181" s="17">
        <v>7057</v>
      </c>
      <c r="F181" s="18">
        <f t="shared" si="2"/>
        <v>0</v>
      </c>
    </row>
    <row r="182" spans="1:6" x14ac:dyDescent="0.25">
      <c r="A182" t="s">
        <v>63</v>
      </c>
      <c r="B182" s="15" t="s">
        <v>279</v>
      </c>
      <c r="C182" s="16">
        <v>37896</v>
      </c>
      <c r="D182" s="17">
        <v>5292</v>
      </c>
      <c r="E182" s="17">
        <v>5292</v>
      </c>
      <c r="F182" s="18">
        <f t="shared" si="2"/>
        <v>0</v>
      </c>
    </row>
    <row r="183" spans="1:6" x14ac:dyDescent="0.25">
      <c r="A183" t="s">
        <v>63</v>
      </c>
      <c r="B183" s="15" t="s">
        <v>280</v>
      </c>
      <c r="C183" s="16">
        <v>38168</v>
      </c>
      <c r="D183" s="17">
        <v>24300</v>
      </c>
      <c r="E183" s="17">
        <v>24300</v>
      </c>
      <c r="F183" s="18">
        <f t="shared" si="2"/>
        <v>0</v>
      </c>
    </row>
    <row r="184" spans="1:6" x14ac:dyDescent="0.25">
      <c r="A184" t="s">
        <v>70</v>
      </c>
      <c r="B184" s="15" t="s">
        <v>281</v>
      </c>
      <c r="C184" s="16">
        <v>38168</v>
      </c>
      <c r="D184" s="17">
        <v>109815</v>
      </c>
      <c r="E184" s="17">
        <v>0</v>
      </c>
      <c r="F184" s="18">
        <f t="shared" si="2"/>
        <v>109815</v>
      </c>
    </row>
    <row r="185" spans="1:6" x14ac:dyDescent="0.25">
      <c r="A185" t="s">
        <v>70</v>
      </c>
      <c r="B185" s="15" t="s">
        <v>282</v>
      </c>
      <c r="C185" s="16">
        <v>38168</v>
      </c>
      <c r="D185" s="17">
        <v>529100</v>
      </c>
      <c r="E185" s="17">
        <v>529100</v>
      </c>
      <c r="F185" s="18">
        <f t="shared" si="2"/>
        <v>0</v>
      </c>
    </row>
    <row r="186" spans="1:6" x14ac:dyDescent="0.25">
      <c r="A186" s="19" t="s">
        <v>63</v>
      </c>
      <c r="B186" s="20" t="s">
        <v>283</v>
      </c>
      <c r="C186" s="16">
        <v>38309</v>
      </c>
      <c r="D186" s="17">
        <v>3863.75</v>
      </c>
      <c r="E186" s="17">
        <v>3863.75</v>
      </c>
      <c r="F186" s="18">
        <f t="shared" si="2"/>
        <v>0</v>
      </c>
    </row>
    <row r="187" spans="1:6" x14ac:dyDescent="0.25">
      <c r="A187" t="s">
        <v>63</v>
      </c>
      <c r="B187" s="15" t="s">
        <v>284</v>
      </c>
      <c r="C187" s="16">
        <v>38309</v>
      </c>
      <c r="D187" s="17">
        <v>20260</v>
      </c>
      <c r="E187" s="17">
        <v>20260</v>
      </c>
      <c r="F187" s="18">
        <f t="shared" si="2"/>
        <v>0</v>
      </c>
    </row>
    <row r="188" spans="1:6" x14ac:dyDescent="0.25">
      <c r="A188" s="19" t="s">
        <v>63</v>
      </c>
      <c r="B188" s="15" t="s">
        <v>285</v>
      </c>
      <c r="C188" s="16">
        <v>38218</v>
      </c>
      <c r="D188" s="17">
        <v>3638.75</v>
      </c>
      <c r="E188" s="17">
        <v>3638.75</v>
      </c>
      <c r="F188" s="18">
        <f t="shared" si="2"/>
        <v>0</v>
      </c>
    </row>
    <row r="189" spans="1:6" x14ac:dyDescent="0.25">
      <c r="A189" t="s">
        <v>63</v>
      </c>
      <c r="B189" s="15" t="s">
        <v>286</v>
      </c>
      <c r="C189" s="16">
        <v>38244</v>
      </c>
      <c r="D189" s="17">
        <v>20775</v>
      </c>
      <c r="E189" s="17">
        <v>20775</v>
      </c>
      <c r="F189" s="18">
        <f t="shared" si="2"/>
        <v>0</v>
      </c>
    </row>
    <row r="190" spans="1:6" x14ac:dyDescent="0.25">
      <c r="A190" t="s">
        <v>70</v>
      </c>
      <c r="B190" s="15" t="s">
        <v>287</v>
      </c>
      <c r="C190" s="16">
        <v>38533</v>
      </c>
      <c r="D190" s="17">
        <v>53457</v>
      </c>
      <c r="E190" s="17">
        <v>0</v>
      </c>
      <c r="F190" s="18">
        <f t="shared" si="2"/>
        <v>53457</v>
      </c>
    </row>
    <row r="191" spans="1:6" x14ac:dyDescent="0.25">
      <c r="A191" t="s">
        <v>70</v>
      </c>
      <c r="B191" s="15" t="s">
        <v>288</v>
      </c>
      <c r="C191" s="16">
        <v>38533</v>
      </c>
      <c r="D191" s="17">
        <v>1265900</v>
      </c>
      <c r="E191" s="17">
        <v>1265900</v>
      </c>
      <c r="F191" s="18">
        <f t="shared" si="2"/>
        <v>0</v>
      </c>
    </row>
    <row r="192" spans="1:6" x14ac:dyDescent="0.25">
      <c r="A192" t="s">
        <v>67</v>
      </c>
      <c r="B192" s="15" t="s">
        <v>289</v>
      </c>
      <c r="C192" s="16">
        <v>38533</v>
      </c>
      <c r="D192" s="17">
        <v>3573002</v>
      </c>
      <c r="E192" s="17">
        <v>0</v>
      </c>
      <c r="F192" s="18">
        <f t="shared" si="2"/>
        <v>3573002</v>
      </c>
    </row>
    <row r="193" spans="1:6" x14ac:dyDescent="0.25">
      <c r="A193" s="19" t="s">
        <v>63</v>
      </c>
      <c r="B193" s="15" t="s">
        <v>290</v>
      </c>
      <c r="C193" s="16">
        <v>38679</v>
      </c>
      <c r="D193" s="17">
        <v>3940</v>
      </c>
      <c r="E193" s="17">
        <v>3940</v>
      </c>
      <c r="F193" s="18">
        <f t="shared" si="2"/>
        <v>0</v>
      </c>
    </row>
    <row r="194" spans="1:6" x14ac:dyDescent="0.25">
      <c r="A194" s="19" t="s">
        <v>63</v>
      </c>
      <c r="B194" s="15" t="s">
        <v>291</v>
      </c>
      <c r="C194" s="16">
        <v>38702</v>
      </c>
      <c r="D194" s="17">
        <v>4500</v>
      </c>
      <c r="E194" s="17">
        <v>4500</v>
      </c>
      <c r="F194" s="18">
        <f t="shared" si="2"/>
        <v>0</v>
      </c>
    </row>
    <row r="195" spans="1:6" x14ac:dyDescent="0.25">
      <c r="A195" t="s">
        <v>63</v>
      </c>
      <c r="B195" s="15" t="s">
        <v>292</v>
      </c>
      <c r="C195" s="16">
        <v>38564</v>
      </c>
      <c r="D195" s="17">
        <v>7900</v>
      </c>
      <c r="E195" s="17">
        <v>7900</v>
      </c>
      <c r="F195" s="18">
        <f t="shared" si="2"/>
        <v>0</v>
      </c>
    </row>
    <row r="196" spans="1:6" x14ac:dyDescent="0.25">
      <c r="A196" t="s">
        <v>63</v>
      </c>
      <c r="B196" s="15" t="s">
        <v>293</v>
      </c>
      <c r="C196" s="16">
        <v>38898</v>
      </c>
      <c r="D196" s="53">
        <v>10625</v>
      </c>
      <c r="E196" s="17">
        <v>8765.7800000000007</v>
      </c>
      <c r="F196" s="18">
        <f t="shared" si="2"/>
        <v>1859.2199999999993</v>
      </c>
    </row>
    <row r="197" spans="1:6" x14ac:dyDescent="0.25">
      <c r="A197" t="s">
        <v>63</v>
      </c>
      <c r="B197" s="15" t="s">
        <v>294</v>
      </c>
      <c r="C197" s="16">
        <v>38898</v>
      </c>
      <c r="D197" s="17">
        <v>21471</v>
      </c>
      <c r="E197" s="17">
        <v>21471</v>
      </c>
      <c r="F197" s="18">
        <f t="shared" ref="F197:F260" si="3">+D197-E197</f>
        <v>0</v>
      </c>
    </row>
    <row r="198" spans="1:6" x14ac:dyDescent="0.25">
      <c r="A198" t="s">
        <v>70</v>
      </c>
      <c r="B198" s="15" t="s">
        <v>295</v>
      </c>
      <c r="C198" s="16">
        <v>38898</v>
      </c>
      <c r="D198" s="17">
        <v>212356</v>
      </c>
      <c r="E198" s="17">
        <v>0</v>
      </c>
      <c r="F198" s="18">
        <f t="shared" si="3"/>
        <v>212356</v>
      </c>
    </row>
    <row r="199" spans="1:6" x14ac:dyDescent="0.25">
      <c r="A199" t="s">
        <v>70</v>
      </c>
      <c r="B199" s="15" t="s">
        <v>296</v>
      </c>
      <c r="C199" s="16">
        <v>38898</v>
      </c>
      <c r="D199" s="17">
        <v>498250</v>
      </c>
      <c r="E199" s="17">
        <v>498250</v>
      </c>
      <c r="F199" s="18">
        <f t="shared" si="3"/>
        <v>0</v>
      </c>
    </row>
    <row r="200" spans="1:6" x14ac:dyDescent="0.25">
      <c r="A200" t="s">
        <v>67</v>
      </c>
      <c r="B200" s="15" t="s">
        <v>297</v>
      </c>
      <c r="C200" s="16">
        <v>39263</v>
      </c>
      <c r="D200" s="17">
        <v>19414</v>
      </c>
      <c r="E200" s="17">
        <v>0</v>
      </c>
      <c r="F200" s="18">
        <f t="shared" si="3"/>
        <v>19414</v>
      </c>
    </row>
    <row r="201" spans="1:6" x14ac:dyDescent="0.25">
      <c r="A201" t="s">
        <v>63</v>
      </c>
      <c r="B201" s="15" t="s">
        <v>298</v>
      </c>
      <c r="C201" s="16">
        <v>39263</v>
      </c>
      <c r="D201" s="17">
        <v>25010</v>
      </c>
      <c r="E201" s="17">
        <v>25010</v>
      </c>
      <c r="F201" s="18">
        <f t="shared" si="3"/>
        <v>0</v>
      </c>
    </row>
    <row r="202" spans="1:6" x14ac:dyDescent="0.25">
      <c r="A202" t="s">
        <v>70</v>
      </c>
      <c r="B202" s="15" t="s">
        <v>299</v>
      </c>
      <c r="C202" s="16">
        <v>39263</v>
      </c>
      <c r="D202" s="17">
        <v>381946</v>
      </c>
      <c r="E202" s="17">
        <v>0</v>
      </c>
      <c r="F202" s="18">
        <f t="shared" si="3"/>
        <v>381946</v>
      </c>
    </row>
    <row r="203" spans="1:6" x14ac:dyDescent="0.25">
      <c r="A203" t="s">
        <v>70</v>
      </c>
      <c r="B203" s="15" t="s">
        <v>300</v>
      </c>
      <c r="C203" s="16">
        <v>39263</v>
      </c>
      <c r="D203" s="17">
        <v>68394</v>
      </c>
      <c r="E203" s="17">
        <v>21202.140000000007</v>
      </c>
      <c r="F203" s="18">
        <f t="shared" si="3"/>
        <v>47191.859999999993</v>
      </c>
    </row>
    <row r="204" spans="1:6" x14ac:dyDescent="0.25">
      <c r="A204" t="s">
        <v>63</v>
      </c>
      <c r="B204" s="15" t="s">
        <v>301</v>
      </c>
      <c r="C204" s="16">
        <v>39263</v>
      </c>
      <c r="D204" s="17">
        <v>5528</v>
      </c>
      <c r="E204" s="17">
        <v>5528</v>
      </c>
      <c r="F204" s="18">
        <f t="shared" si="3"/>
        <v>0</v>
      </c>
    </row>
    <row r="205" spans="1:6" x14ac:dyDescent="0.25">
      <c r="A205" t="s">
        <v>70</v>
      </c>
      <c r="B205" s="15" t="s">
        <v>302</v>
      </c>
      <c r="C205" s="16">
        <v>39263</v>
      </c>
      <c r="D205" s="17">
        <v>661750</v>
      </c>
      <c r="E205" s="17">
        <v>661750</v>
      </c>
      <c r="F205" s="18">
        <f t="shared" si="3"/>
        <v>0</v>
      </c>
    </row>
    <row r="206" spans="1:6" x14ac:dyDescent="0.25">
      <c r="A206" s="19" t="s">
        <v>63</v>
      </c>
      <c r="B206" s="15" t="s">
        <v>303</v>
      </c>
      <c r="C206" s="16">
        <v>39629</v>
      </c>
      <c r="D206" s="17">
        <v>6122.25</v>
      </c>
      <c r="E206" s="17">
        <v>6122.25</v>
      </c>
      <c r="F206" s="18">
        <f t="shared" si="3"/>
        <v>0</v>
      </c>
    </row>
    <row r="207" spans="1:6" x14ac:dyDescent="0.25">
      <c r="A207" s="19" t="s">
        <v>63</v>
      </c>
      <c r="B207" s="15" t="s">
        <v>304</v>
      </c>
      <c r="C207" s="16">
        <v>39629</v>
      </c>
      <c r="D207" s="17">
        <v>5865</v>
      </c>
      <c r="E207" s="17">
        <v>5865</v>
      </c>
      <c r="F207" s="18">
        <f t="shared" si="3"/>
        <v>0</v>
      </c>
    </row>
    <row r="208" spans="1:6" x14ac:dyDescent="0.25">
      <c r="A208" t="s">
        <v>63</v>
      </c>
      <c r="B208" s="15" t="s">
        <v>305</v>
      </c>
      <c r="C208" s="16">
        <v>39629</v>
      </c>
      <c r="D208" s="17">
        <v>10479</v>
      </c>
      <c r="E208" s="17">
        <v>10479</v>
      </c>
      <c r="F208" s="18">
        <f t="shared" si="3"/>
        <v>0</v>
      </c>
    </row>
    <row r="209" spans="1:6" x14ac:dyDescent="0.25">
      <c r="A209" t="s">
        <v>63</v>
      </c>
      <c r="B209" s="15" t="s">
        <v>306</v>
      </c>
      <c r="C209" s="16">
        <v>39629</v>
      </c>
      <c r="D209" s="17">
        <v>8846</v>
      </c>
      <c r="E209" s="17">
        <v>8846</v>
      </c>
      <c r="F209" s="18">
        <f t="shared" si="3"/>
        <v>0</v>
      </c>
    </row>
    <row r="210" spans="1:6" x14ac:dyDescent="0.25">
      <c r="A210" t="s">
        <v>70</v>
      </c>
      <c r="B210" s="15" t="s">
        <v>307</v>
      </c>
      <c r="C210" s="16">
        <v>39629</v>
      </c>
      <c r="D210" s="17">
        <v>3191301</v>
      </c>
      <c r="E210" s="17">
        <v>0</v>
      </c>
      <c r="F210" s="18">
        <f t="shared" si="3"/>
        <v>3191301</v>
      </c>
    </row>
    <row r="211" spans="1:6" x14ac:dyDescent="0.25">
      <c r="A211" t="s">
        <v>67</v>
      </c>
      <c r="B211" s="15" t="s">
        <v>308</v>
      </c>
      <c r="C211" s="16">
        <v>39629</v>
      </c>
      <c r="D211" s="17">
        <v>809628</v>
      </c>
      <c r="E211" s="17">
        <v>0</v>
      </c>
      <c r="F211" s="18">
        <f t="shared" si="3"/>
        <v>809628</v>
      </c>
    </row>
    <row r="212" spans="1:6" x14ac:dyDescent="0.25">
      <c r="A212" t="s">
        <v>70</v>
      </c>
      <c r="B212" s="15" t="s">
        <v>309</v>
      </c>
      <c r="C212" s="16">
        <v>39629</v>
      </c>
      <c r="D212" s="17">
        <v>1027555</v>
      </c>
      <c r="E212" s="17">
        <v>0</v>
      </c>
      <c r="F212" s="18">
        <f t="shared" si="3"/>
        <v>1027555</v>
      </c>
    </row>
    <row r="213" spans="1:6" x14ac:dyDescent="0.25">
      <c r="A213" t="s">
        <v>67</v>
      </c>
      <c r="B213" s="15" t="s">
        <v>310</v>
      </c>
      <c r="C213" s="16">
        <v>39629</v>
      </c>
      <c r="D213" s="17">
        <v>6761310</v>
      </c>
      <c r="E213" s="17">
        <v>6761310</v>
      </c>
      <c r="F213" s="18">
        <f t="shared" si="3"/>
        <v>0</v>
      </c>
    </row>
    <row r="214" spans="1:6" x14ac:dyDescent="0.25">
      <c r="A214" t="s">
        <v>70</v>
      </c>
      <c r="B214" s="15" t="s">
        <v>311</v>
      </c>
      <c r="C214" s="16">
        <v>39629</v>
      </c>
      <c r="D214" s="17">
        <v>299550</v>
      </c>
      <c r="E214" s="17">
        <v>299550</v>
      </c>
      <c r="F214" s="18">
        <f t="shared" si="3"/>
        <v>0</v>
      </c>
    </row>
    <row r="215" spans="1:6" x14ac:dyDescent="0.25">
      <c r="A215" t="s">
        <v>63</v>
      </c>
      <c r="B215" s="15" t="s">
        <v>312</v>
      </c>
      <c r="C215" s="16">
        <v>39994</v>
      </c>
      <c r="D215" s="17">
        <v>28944</v>
      </c>
      <c r="E215" s="17">
        <v>0</v>
      </c>
      <c r="F215" s="18">
        <f t="shared" si="3"/>
        <v>28944</v>
      </c>
    </row>
    <row r="216" spans="1:6" x14ac:dyDescent="0.25">
      <c r="A216" t="s">
        <v>63</v>
      </c>
      <c r="B216" s="15" t="s">
        <v>313</v>
      </c>
      <c r="C216" s="16">
        <v>39994</v>
      </c>
      <c r="D216" s="17">
        <v>6327</v>
      </c>
      <c r="E216" s="17">
        <v>6327</v>
      </c>
      <c r="F216" s="18">
        <f t="shared" si="3"/>
        <v>0</v>
      </c>
    </row>
    <row r="217" spans="1:6" x14ac:dyDescent="0.25">
      <c r="A217" t="s">
        <v>63</v>
      </c>
      <c r="B217" s="15" t="s">
        <v>314</v>
      </c>
      <c r="C217" s="16">
        <v>39994</v>
      </c>
      <c r="D217" s="17">
        <v>0</v>
      </c>
      <c r="E217" s="17">
        <v>0</v>
      </c>
      <c r="F217" s="18">
        <f t="shared" si="3"/>
        <v>0</v>
      </c>
    </row>
    <row r="218" spans="1:6" x14ac:dyDescent="0.25">
      <c r="A218" t="s">
        <v>70</v>
      </c>
      <c r="B218" s="15" t="s">
        <v>315</v>
      </c>
      <c r="C218" s="16">
        <v>39994</v>
      </c>
      <c r="D218" s="17">
        <v>93635</v>
      </c>
      <c r="E218" s="17">
        <v>25281.450000000004</v>
      </c>
      <c r="F218" s="18">
        <f t="shared" si="3"/>
        <v>68353.549999999988</v>
      </c>
    </row>
    <row r="219" spans="1:6" x14ac:dyDescent="0.25">
      <c r="A219" t="s">
        <v>67</v>
      </c>
      <c r="B219" s="15" t="s">
        <v>316</v>
      </c>
      <c r="C219" s="16">
        <v>39994</v>
      </c>
      <c r="D219" s="53">
        <v>1931599</v>
      </c>
      <c r="E219" s="17">
        <v>1303829.4599999997</v>
      </c>
      <c r="F219" s="18">
        <f t="shared" si="3"/>
        <v>627769.54000000027</v>
      </c>
    </row>
    <row r="220" spans="1:6" x14ac:dyDescent="0.25">
      <c r="A220" t="s">
        <v>70</v>
      </c>
      <c r="B220" s="15" t="s">
        <v>317</v>
      </c>
      <c r="C220" s="16">
        <v>39994</v>
      </c>
      <c r="D220" s="53">
        <v>436690</v>
      </c>
      <c r="E220" s="17">
        <v>117906.30000000002</v>
      </c>
      <c r="F220" s="18">
        <f t="shared" si="3"/>
        <v>318783.69999999995</v>
      </c>
    </row>
    <row r="221" spans="1:6" x14ac:dyDescent="0.25">
      <c r="A221" t="s">
        <v>67</v>
      </c>
      <c r="B221" s="15" t="s">
        <v>318</v>
      </c>
      <c r="C221" s="16">
        <v>39994</v>
      </c>
      <c r="D221" s="53">
        <v>382000</v>
      </c>
      <c r="E221" s="17">
        <v>257850</v>
      </c>
      <c r="F221" s="18">
        <f t="shared" si="3"/>
        <v>124150</v>
      </c>
    </row>
    <row r="222" spans="1:6" x14ac:dyDescent="0.25">
      <c r="A222" t="s">
        <v>70</v>
      </c>
      <c r="B222" s="15" t="s">
        <v>319</v>
      </c>
      <c r="C222" s="16">
        <v>39994</v>
      </c>
      <c r="D222" s="17">
        <v>301600</v>
      </c>
      <c r="E222" s="17">
        <v>301600</v>
      </c>
      <c r="F222" s="18">
        <f t="shared" si="3"/>
        <v>0</v>
      </c>
    </row>
    <row r="223" spans="1:6" x14ac:dyDescent="0.25">
      <c r="A223" t="s">
        <v>63</v>
      </c>
      <c r="B223" s="15" t="s">
        <v>320</v>
      </c>
      <c r="C223" s="16">
        <v>40359</v>
      </c>
      <c r="D223" s="17">
        <v>9624</v>
      </c>
      <c r="E223" s="17">
        <v>9624</v>
      </c>
      <c r="F223" s="18">
        <f t="shared" si="3"/>
        <v>0</v>
      </c>
    </row>
    <row r="224" spans="1:6" x14ac:dyDescent="0.25">
      <c r="A224" t="s">
        <v>70</v>
      </c>
      <c r="B224" s="15" t="s">
        <v>321</v>
      </c>
      <c r="C224" s="16">
        <v>40359</v>
      </c>
      <c r="D224" s="53">
        <v>473351</v>
      </c>
      <c r="E224" s="17">
        <v>118337.75000000003</v>
      </c>
      <c r="F224" s="18">
        <f t="shared" si="3"/>
        <v>355013.25</v>
      </c>
    </row>
    <row r="225" spans="1:6" x14ac:dyDescent="0.25">
      <c r="A225" t="s">
        <v>67</v>
      </c>
      <c r="B225" s="15" t="s">
        <v>322</v>
      </c>
      <c r="C225" s="16">
        <v>40724</v>
      </c>
      <c r="D225" s="17">
        <v>55737</v>
      </c>
      <c r="E225" s="17">
        <v>55737</v>
      </c>
      <c r="F225" s="18">
        <f t="shared" si="3"/>
        <v>0</v>
      </c>
    </row>
    <row r="226" spans="1:6" x14ac:dyDescent="0.25">
      <c r="A226" s="19" t="s">
        <v>63</v>
      </c>
      <c r="B226" s="15" t="s">
        <v>323</v>
      </c>
      <c r="C226" s="16">
        <v>41090</v>
      </c>
      <c r="D226" s="17">
        <v>18984.25</v>
      </c>
      <c r="E226" s="17">
        <v>18984.25</v>
      </c>
      <c r="F226" s="18">
        <f t="shared" si="3"/>
        <v>0</v>
      </c>
    </row>
    <row r="227" spans="1:6" x14ac:dyDescent="0.25">
      <c r="A227" s="19" t="s">
        <v>63</v>
      </c>
      <c r="B227" s="15" t="s">
        <v>324</v>
      </c>
      <c r="C227" s="16">
        <v>41090</v>
      </c>
      <c r="D227" s="17">
        <v>18984.5</v>
      </c>
      <c r="E227" s="17">
        <v>18984.5</v>
      </c>
      <c r="F227" s="18">
        <f t="shared" si="3"/>
        <v>0</v>
      </c>
    </row>
    <row r="228" spans="1:6" x14ac:dyDescent="0.25">
      <c r="A228" s="19" t="s">
        <v>63</v>
      </c>
      <c r="B228" s="15" t="s">
        <v>325</v>
      </c>
      <c r="C228" s="16">
        <v>41090</v>
      </c>
      <c r="D228" s="17">
        <v>1556.5</v>
      </c>
      <c r="E228" s="17">
        <v>1556.5</v>
      </c>
      <c r="F228" s="18">
        <f t="shared" si="3"/>
        <v>0</v>
      </c>
    </row>
    <row r="229" spans="1:6" x14ac:dyDescent="0.25">
      <c r="A229" t="s">
        <v>67</v>
      </c>
      <c r="B229" s="15" t="s">
        <v>326</v>
      </c>
      <c r="C229" s="16">
        <v>41090</v>
      </c>
      <c r="D229" s="17">
        <v>89590</v>
      </c>
      <c r="E229" s="17">
        <v>20904.339999999997</v>
      </c>
      <c r="F229" s="18">
        <f t="shared" si="3"/>
        <v>68685.66</v>
      </c>
    </row>
    <row r="230" spans="1:6" x14ac:dyDescent="0.25">
      <c r="A230" t="s">
        <v>63</v>
      </c>
      <c r="B230" s="15" t="s">
        <v>327</v>
      </c>
      <c r="C230" s="16">
        <v>41090</v>
      </c>
      <c r="D230" s="17">
        <v>9690</v>
      </c>
      <c r="E230" s="17">
        <v>9690.0000000000018</v>
      </c>
      <c r="F230" s="18">
        <f t="shared" si="3"/>
        <v>0</v>
      </c>
    </row>
    <row r="231" spans="1:6" x14ac:dyDescent="0.25">
      <c r="A231" t="s">
        <v>70</v>
      </c>
      <c r="B231" s="15" t="s">
        <v>328</v>
      </c>
      <c r="C231" s="16">
        <v>41090</v>
      </c>
      <c r="D231" s="17">
        <v>57026</v>
      </c>
      <c r="E231" s="17">
        <v>0</v>
      </c>
      <c r="F231" s="18">
        <f t="shared" si="3"/>
        <v>57026</v>
      </c>
    </row>
    <row r="232" spans="1:6" x14ac:dyDescent="0.25">
      <c r="A232" t="s">
        <v>63</v>
      </c>
      <c r="B232" s="15" t="s">
        <v>329</v>
      </c>
      <c r="C232" s="16">
        <v>41455</v>
      </c>
      <c r="D232" s="17">
        <v>21936</v>
      </c>
      <c r="E232" s="17">
        <v>21936</v>
      </c>
      <c r="F232" s="18">
        <f t="shared" si="3"/>
        <v>0</v>
      </c>
    </row>
    <row r="233" spans="1:6" x14ac:dyDescent="0.25">
      <c r="A233" s="19" t="s">
        <v>63</v>
      </c>
      <c r="B233" s="15" t="s">
        <v>330</v>
      </c>
      <c r="C233" s="16">
        <v>41487</v>
      </c>
      <c r="D233" s="17">
        <v>5317.12</v>
      </c>
      <c r="E233" s="17">
        <v>4785.41</v>
      </c>
      <c r="F233" s="18">
        <f t="shared" si="3"/>
        <v>531.71</v>
      </c>
    </row>
    <row r="234" spans="1:6" x14ac:dyDescent="0.25">
      <c r="A234" s="19" t="s">
        <v>63</v>
      </c>
      <c r="B234" s="15" t="s">
        <v>331</v>
      </c>
      <c r="C234" s="16">
        <v>41820</v>
      </c>
      <c r="D234" s="17">
        <v>6624.75</v>
      </c>
      <c r="E234" s="17">
        <v>5962.2800000000007</v>
      </c>
      <c r="F234" s="18">
        <f t="shared" si="3"/>
        <v>662.46999999999935</v>
      </c>
    </row>
    <row r="235" spans="1:6" x14ac:dyDescent="0.25">
      <c r="A235" s="19" t="s">
        <v>63</v>
      </c>
      <c r="B235" s="15" t="s">
        <v>332</v>
      </c>
      <c r="C235" s="16">
        <v>41820</v>
      </c>
      <c r="D235" s="17">
        <v>5663</v>
      </c>
      <c r="E235" s="17">
        <v>5096.7</v>
      </c>
      <c r="F235" s="18">
        <f t="shared" si="3"/>
        <v>566.30000000000018</v>
      </c>
    </row>
    <row r="236" spans="1:6" x14ac:dyDescent="0.25">
      <c r="A236" s="19" t="s">
        <v>63</v>
      </c>
      <c r="B236" s="15" t="s">
        <v>333</v>
      </c>
      <c r="C236" s="16">
        <v>41820</v>
      </c>
      <c r="D236" s="17">
        <v>7290.25</v>
      </c>
      <c r="E236" s="17">
        <v>6561.23</v>
      </c>
      <c r="F236" s="18">
        <f t="shared" si="3"/>
        <v>729.02000000000044</v>
      </c>
    </row>
    <row r="237" spans="1:6" x14ac:dyDescent="0.25">
      <c r="A237" t="s">
        <v>63</v>
      </c>
      <c r="B237" s="15" t="s">
        <v>334</v>
      </c>
      <c r="C237" s="16">
        <v>41820</v>
      </c>
      <c r="D237" s="17">
        <v>25636.06</v>
      </c>
      <c r="E237" s="17">
        <v>25636.06</v>
      </c>
      <c r="F237" s="18">
        <f t="shared" si="3"/>
        <v>0</v>
      </c>
    </row>
    <row r="238" spans="1:6" x14ac:dyDescent="0.25">
      <c r="A238" s="19" t="s">
        <v>63</v>
      </c>
      <c r="B238" s="15" t="s">
        <v>335</v>
      </c>
      <c r="C238" s="16">
        <v>41914</v>
      </c>
      <c r="D238" s="17">
        <v>28415.75</v>
      </c>
      <c r="E238" s="17">
        <v>28415.750000000004</v>
      </c>
      <c r="F238" s="18">
        <f t="shared" si="3"/>
        <v>0</v>
      </c>
    </row>
    <row r="239" spans="1:6" x14ac:dyDescent="0.25">
      <c r="A239" s="19" t="s">
        <v>63</v>
      </c>
      <c r="B239" s="15" t="s">
        <v>336</v>
      </c>
      <c r="C239" s="16">
        <v>41977</v>
      </c>
      <c r="D239" s="17">
        <v>4454.7</v>
      </c>
      <c r="E239" s="17">
        <v>4454.7</v>
      </c>
      <c r="F239" s="18">
        <f t="shared" si="3"/>
        <v>0</v>
      </c>
    </row>
    <row r="240" spans="1:6" x14ac:dyDescent="0.25">
      <c r="A240" s="19" t="s">
        <v>63</v>
      </c>
      <c r="B240" s="15" t="s">
        <v>337</v>
      </c>
      <c r="C240" s="16">
        <v>41963</v>
      </c>
      <c r="D240" s="17">
        <v>8568.3799999999992</v>
      </c>
      <c r="E240" s="17">
        <v>8568.3799999999992</v>
      </c>
      <c r="F240" s="18">
        <f t="shared" si="3"/>
        <v>0</v>
      </c>
    </row>
    <row r="241" spans="1:6" x14ac:dyDescent="0.25">
      <c r="A241" s="19" t="s">
        <v>63</v>
      </c>
      <c r="B241" s="15" t="s">
        <v>338</v>
      </c>
      <c r="C241" s="16">
        <v>42083</v>
      </c>
      <c r="D241" s="17">
        <v>6608.78</v>
      </c>
      <c r="E241" s="17">
        <v>6608.78</v>
      </c>
      <c r="F241" s="18">
        <f t="shared" si="3"/>
        <v>0</v>
      </c>
    </row>
    <row r="242" spans="1:6" x14ac:dyDescent="0.25">
      <c r="A242" s="19" t="s">
        <v>63</v>
      </c>
      <c r="B242" s="15" t="s">
        <v>339</v>
      </c>
      <c r="C242" s="16">
        <v>41977</v>
      </c>
      <c r="D242" s="17">
        <v>6821.13</v>
      </c>
      <c r="E242" s="17">
        <v>6821.13</v>
      </c>
      <c r="F242" s="18">
        <f t="shared" si="3"/>
        <v>0</v>
      </c>
    </row>
    <row r="243" spans="1:6" x14ac:dyDescent="0.25">
      <c r="A243" t="s">
        <v>63</v>
      </c>
      <c r="B243" s="15" t="s">
        <v>340</v>
      </c>
      <c r="C243" s="16">
        <v>41963</v>
      </c>
      <c r="D243" s="17">
        <v>79029.03</v>
      </c>
      <c r="E243" s="17">
        <v>79029.03</v>
      </c>
      <c r="F243" s="18">
        <f t="shared" si="3"/>
        <v>0</v>
      </c>
    </row>
    <row r="244" spans="1:6" x14ac:dyDescent="0.25">
      <c r="A244" s="21" t="s">
        <v>63</v>
      </c>
      <c r="B244" s="22" t="s">
        <v>341</v>
      </c>
      <c r="C244" s="23">
        <v>42185</v>
      </c>
      <c r="D244" s="24">
        <v>1981.58</v>
      </c>
      <c r="E244" s="24">
        <v>1981.58</v>
      </c>
      <c r="F244" s="18">
        <f t="shared" si="3"/>
        <v>0</v>
      </c>
    </row>
    <row r="245" spans="1:6" x14ac:dyDescent="0.25">
      <c r="A245" t="s">
        <v>67</v>
      </c>
      <c r="B245" s="15" t="s">
        <v>342</v>
      </c>
      <c r="C245" s="16">
        <v>42185</v>
      </c>
      <c r="D245" s="17">
        <v>97689.73</v>
      </c>
      <c r="E245" s="17">
        <v>73267.297500000001</v>
      </c>
      <c r="F245" s="18">
        <f t="shared" si="3"/>
        <v>24422.432499999995</v>
      </c>
    </row>
    <row r="246" spans="1:6" x14ac:dyDescent="0.25">
      <c r="A246" t="s">
        <v>107</v>
      </c>
      <c r="B246" s="15" t="s">
        <v>343</v>
      </c>
      <c r="C246" s="16">
        <v>42185</v>
      </c>
      <c r="D246" s="17">
        <v>128581.78</v>
      </c>
      <c r="E246" s="17"/>
      <c r="F246" s="18">
        <f t="shared" si="3"/>
        <v>128581.78</v>
      </c>
    </row>
    <row r="247" spans="1:6" x14ac:dyDescent="0.25">
      <c r="A247" t="s">
        <v>70</v>
      </c>
      <c r="B247" s="15" t="s">
        <v>344</v>
      </c>
      <c r="C247" s="16">
        <v>41820</v>
      </c>
      <c r="D247" s="17">
        <v>1134686.3999999999</v>
      </c>
      <c r="E247" s="17">
        <v>181549.82399999999</v>
      </c>
      <c r="F247" s="18">
        <f t="shared" si="3"/>
        <v>953136.57599999988</v>
      </c>
    </row>
    <row r="248" spans="1:6" x14ac:dyDescent="0.25">
      <c r="A248" t="s">
        <v>70</v>
      </c>
      <c r="B248" s="15" t="s">
        <v>345</v>
      </c>
      <c r="C248" s="16">
        <v>41820</v>
      </c>
      <c r="D248" s="17">
        <v>416228.8</v>
      </c>
      <c r="E248" s="17">
        <v>66596.607999999993</v>
      </c>
      <c r="F248" s="18">
        <f t="shared" si="3"/>
        <v>349632.19199999998</v>
      </c>
    </row>
    <row r="249" spans="1:6" x14ac:dyDescent="0.25">
      <c r="A249" t="s">
        <v>63</v>
      </c>
      <c r="B249" s="15" t="s">
        <v>346</v>
      </c>
      <c r="C249" s="16">
        <v>42185</v>
      </c>
      <c r="D249" s="17">
        <v>24249.97</v>
      </c>
      <c r="E249" s="17">
        <v>3879.9952000000008</v>
      </c>
      <c r="F249" s="18">
        <f t="shared" si="3"/>
        <v>20369.9748</v>
      </c>
    </row>
    <row r="250" spans="1:6" x14ac:dyDescent="0.25">
      <c r="A250" t="s">
        <v>63</v>
      </c>
      <c r="B250" s="15" t="s">
        <v>346</v>
      </c>
      <c r="C250" s="16">
        <v>42185</v>
      </c>
      <c r="D250" s="17">
        <v>73050</v>
      </c>
      <c r="E250" s="17">
        <v>11688</v>
      </c>
      <c r="F250" s="18">
        <f t="shared" si="3"/>
        <v>61362</v>
      </c>
    </row>
    <row r="251" spans="1:6" x14ac:dyDescent="0.25">
      <c r="A251" s="19" t="s">
        <v>63</v>
      </c>
      <c r="B251" s="25" t="s">
        <v>347</v>
      </c>
      <c r="C251" s="26">
        <v>42460</v>
      </c>
      <c r="D251" s="17">
        <v>2166.67</v>
      </c>
      <c r="E251" s="17">
        <v>2011.9042857142858</v>
      </c>
      <c r="F251" s="18">
        <f t="shared" si="3"/>
        <v>154.76571428571424</v>
      </c>
    </row>
    <row r="252" spans="1:6" x14ac:dyDescent="0.25">
      <c r="A252" t="s">
        <v>63</v>
      </c>
      <c r="B252" s="25" t="s">
        <v>348</v>
      </c>
      <c r="C252" s="26">
        <v>42429</v>
      </c>
      <c r="D252" s="17">
        <v>6707.25</v>
      </c>
      <c r="E252" s="17">
        <v>2906.4750000000004</v>
      </c>
      <c r="F252" s="18">
        <f t="shared" si="3"/>
        <v>3800.7749999999996</v>
      </c>
    </row>
    <row r="253" spans="1:6" x14ac:dyDescent="0.25">
      <c r="A253" t="s">
        <v>63</v>
      </c>
      <c r="B253" t="s">
        <v>64</v>
      </c>
      <c r="C253" s="26">
        <v>42613</v>
      </c>
      <c r="D253" s="17">
        <v>6526</v>
      </c>
      <c r="E253" s="17">
        <v>2392.8666666666668</v>
      </c>
      <c r="F253" s="18">
        <f t="shared" si="3"/>
        <v>4133.1333333333332</v>
      </c>
    </row>
    <row r="254" spans="1:6" x14ac:dyDescent="0.25">
      <c r="A254" s="19" t="s">
        <v>63</v>
      </c>
      <c r="B254" t="s">
        <v>349</v>
      </c>
      <c r="C254" s="26">
        <v>42783</v>
      </c>
      <c r="D254" s="17">
        <v>1614.25</v>
      </c>
      <c r="E254" s="17">
        <v>1268.3371428571429</v>
      </c>
      <c r="F254" s="18">
        <f t="shared" si="3"/>
        <v>345.91285714285709</v>
      </c>
    </row>
    <row r="255" spans="1:6" x14ac:dyDescent="0.25">
      <c r="A255" s="19" t="s">
        <v>63</v>
      </c>
      <c r="B255" t="s">
        <v>350</v>
      </c>
      <c r="C255" s="26">
        <v>42755</v>
      </c>
      <c r="D255" s="17">
        <v>9572.52</v>
      </c>
      <c r="E255" s="17">
        <v>7521.2657142857079</v>
      </c>
      <c r="F255" s="18">
        <f t="shared" si="3"/>
        <v>2051.2542857142926</v>
      </c>
    </row>
    <row r="256" spans="1:6" x14ac:dyDescent="0.25">
      <c r="A256" t="s">
        <v>67</v>
      </c>
      <c r="B256" t="s">
        <v>80</v>
      </c>
      <c r="C256" s="26">
        <v>42916</v>
      </c>
      <c r="D256" s="17">
        <v>19882.5</v>
      </c>
      <c r="E256" s="17">
        <v>3645.125</v>
      </c>
      <c r="F256" s="18">
        <f t="shared" si="3"/>
        <v>16237.375</v>
      </c>
    </row>
    <row r="257" spans="1:6" x14ac:dyDescent="0.25">
      <c r="A257" t="s">
        <v>63</v>
      </c>
      <c r="B257" t="s">
        <v>65</v>
      </c>
      <c r="C257" s="26">
        <v>42908</v>
      </c>
      <c r="D257" s="17">
        <v>11242</v>
      </c>
      <c r="E257" s="17">
        <v>4122.0666666666666</v>
      </c>
      <c r="F257" s="18">
        <f t="shared" si="3"/>
        <v>7119.9333333333334</v>
      </c>
    </row>
    <row r="258" spans="1:6" x14ac:dyDescent="0.25">
      <c r="A258" t="s">
        <v>63</v>
      </c>
      <c r="B258" t="s">
        <v>66</v>
      </c>
      <c r="C258" s="26">
        <v>42916</v>
      </c>
      <c r="D258" s="17">
        <v>10061.17</v>
      </c>
      <c r="E258" s="17">
        <v>7905.2049999999999</v>
      </c>
      <c r="F258" s="18">
        <f t="shared" si="3"/>
        <v>2155.9650000000001</v>
      </c>
    </row>
    <row r="259" spans="1:6" x14ac:dyDescent="0.25">
      <c r="A259" s="19" t="s">
        <v>63</v>
      </c>
      <c r="B259" t="s">
        <v>351</v>
      </c>
      <c r="C259" s="26">
        <v>42886</v>
      </c>
      <c r="D259" s="17">
        <v>2899.75</v>
      </c>
      <c r="E259" s="17">
        <v>2899.75</v>
      </c>
      <c r="F259" s="18">
        <f t="shared" si="3"/>
        <v>0</v>
      </c>
    </row>
    <row r="260" spans="1:6" x14ac:dyDescent="0.25">
      <c r="A260" t="s">
        <v>67</v>
      </c>
      <c r="B260" t="s">
        <v>68</v>
      </c>
      <c r="C260" s="26">
        <v>42916</v>
      </c>
      <c r="D260" s="17">
        <v>649044.57999999996</v>
      </c>
      <c r="E260" s="17">
        <v>0</v>
      </c>
      <c r="F260" s="18">
        <f t="shared" si="3"/>
        <v>649044.57999999996</v>
      </c>
    </row>
    <row r="261" spans="1:6" x14ac:dyDescent="0.25">
      <c r="A261" t="s">
        <v>67</v>
      </c>
      <c r="B261" t="s">
        <v>69</v>
      </c>
      <c r="C261" s="26">
        <v>42916</v>
      </c>
      <c r="D261" s="17">
        <v>2262028.9900000002</v>
      </c>
      <c r="E261" s="17">
        <v>311028.986125</v>
      </c>
      <c r="F261" s="18">
        <f t="shared" ref="F261:F324" si="4">+D261-E261</f>
        <v>1951000.0038750002</v>
      </c>
    </row>
    <row r="262" spans="1:6" x14ac:dyDescent="0.25">
      <c r="A262" s="19" t="s">
        <v>63</v>
      </c>
      <c r="B262" t="s">
        <v>352</v>
      </c>
      <c r="C262" s="26">
        <v>43026</v>
      </c>
      <c r="D262" s="17">
        <v>20869.310000000001</v>
      </c>
      <c r="E262" s="17">
        <v>13415.985000000001</v>
      </c>
      <c r="F262" s="18">
        <f t="shared" si="4"/>
        <v>7453.3250000000007</v>
      </c>
    </row>
    <row r="263" spans="1:6" x14ac:dyDescent="0.25">
      <c r="A263" t="s">
        <v>67</v>
      </c>
      <c r="B263" t="s">
        <v>81</v>
      </c>
      <c r="C263" s="26">
        <v>43054</v>
      </c>
      <c r="D263" s="17">
        <v>12425</v>
      </c>
      <c r="E263" s="17">
        <v>2236.5</v>
      </c>
      <c r="F263" s="18">
        <f t="shared" si="4"/>
        <v>10188.5</v>
      </c>
    </row>
    <row r="264" spans="1:6" x14ac:dyDescent="0.25">
      <c r="A264" s="19" t="s">
        <v>63</v>
      </c>
      <c r="B264" t="s">
        <v>353</v>
      </c>
      <c r="C264" s="26">
        <v>43069</v>
      </c>
      <c r="D264" s="17">
        <v>1844.83</v>
      </c>
      <c r="E264" s="17">
        <v>1660.3470000000002</v>
      </c>
      <c r="F264" s="18">
        <f t="shared" si="4"/>
        <v>184.48299999999972</v>
      </c>
    </row>
    <row r="265" spans="1:6" x14ac:dyDescent="0.25">
      <c r="A265" s="19" t="s">
        <v>63</v>
      </c>
      <c r="B265" t="s">
        <v>354</v>
      </c>
      <c r="C265" s="26">
        <v>43100</v>
      </c>
      <c r="D265" s="17">
        <v>6020.66</v>
      </c>
      <c r="E265" s="17">
        <v>3870.4255357142856</v>
      </c>
      <c r="F265" s="18">
        <f t="shared" si="4"/>
        <v>2150.2344642857142</v>
      </c>
    </row>
    <row r="266" spans="1:6" x14ac:dyDescent="0.25">
      <c r="A266" s="19" t="s">
        <v>63</v>
      </c>
      <c r="B266" t="s">
        <v>355</v>
      </c>
      <c r="C266" s="26">
        <v>43100</v>
      </c>
      <c r="D266" s="17">
        <v>6085.41</v>
      </c>
      <c r="E266" s="17">
        <v>3912.0505357142856</v>
      </c>
      <c r="F266" s="18">
        <f t="shared" si="4"/>
        <v>2173.3594642857142</v>
      </c>
    </row>
    <row r="267" spans="1:6" x14ac:dyDescent="0.25">
      <c r="A267" s="19" t="s">
        <v>63</v>
      </c>
      <c r="B267" t="s">
        <v>356</v>
      </c>
      <c r="C267" s="26">
        <v>43168</v>
      </c>
      <c r="D267" s="17">
        <v>12493.99</v>
      </c>
      <c r="E267" s="17">
        <v>8031.849464285714</v>
      </c>
      <c r="F267" s="18">
        <f t="shared" si="4"/>
        <v>4462.1405357142858</v>
      </c>
    </row>
    <row r="268" spans="1:6" x14ac:dyDescent="0.25">
      <c r="A268" s="19" t="s">
        <v>63</v>
      </c>
      <c r="B268" t="s">
        <v>357</v>
      </c>
      <c r="C268" s="26">
        <v>43259</v>
      </c>
      <c r="D268" s="17">
        <v>7637.75</v>
      </c>
      <c r="E268" s="17">
        <v>4909.9808928571429</v>
      </c>
      <c r="F268" s="18">
        <f t="shared" si="4"/>
        <v>2727.7691071428571</v>
      </c>
    </row>
    <row r="269" spans="1:6" x14ac:dyDescent="0.25">
      <c r="A269" s="19" t="s">
        <v>63</v>
      </c>
      <c r="B269" t="s">
        <v>358</v>
      </c>
      <c r="C269" s="26">
        <v>43281</v>
      </c>
      <c r="D269" s="17">
        <v>6964.65</v>
      </c>
      <c r="E269" s="17">
        <v>4477.2749999999996</v>
      </c>
      <c r="F269" s="18">
        <f t="shared" si="4"/>
        <v>2487.375</v>
      </c>
    </row>
    <row r="270" spans="1:6" x14ac:dyDescent="0.25">
      <c r="A270" t="s">
        <v>63</v>
      </c>
      <c r="B270" t="s">
        <v>72</v>
      </c>
      <c r="C270" s="26">
        <v>43281</v>
      </c>
      <c r="D270" s="17">
        <v>11215</v>
      </c>
      <c r="E270" s="17">
        <v>10093.5</v>
      </c>
      <c r="F270" s="18">
        <f t="shared" si="4"/>
        <v>1121.5</v>
      </c>
    </row>
    <row r="271" spans="1:6" x14ac:dyDescent="0.25">
      <c r="A271" t="s">
        <v>67</v>
      </c>
      <c r="B271" t="s">
        <v>82</v>
      </c>
      <c r="C271" s="26">
        <v>43281</v>
      </c>
      <c r="D271" s="17">
        <v>10148.959999999999</v>
      </c>
      <c r="E271" s="17">
        <v>1522.3439999999998</v>
      </c>
      <c r="F271" s="18">
        <f t="shared" si="4"/>
        <v>8626.616</v>
      </c>
    </row>
    <row r="272" spans="1:6" x14ac:dyDescent="0.25">
      <c r="A272" t="s">
        <v>63</v>
      </c>
      <c r="B272" t="s">
        <v>83</v>
      </c>
      <c r="C272" s="26">
        <v>43281</v>
      </c>
      <c r="D272" s="17">
        <v>271415.59000000003</v>
      </c>
      <c r="E272" s="17">
        <f>D272/2</f>
        <v>135707.79500000001</v>
      </c>
      <c r="F272" s="18">
        <f t="shared" si="4"/>
        <v>135707.79500000001</v>
      </c>
    </row>
    <row r="273" spans="1:6" x14ac:dyDescent="0.25">
      <c r="A273" t="s">
        <v>63</v>
      </c>
      <c r="B273" t="s">
        <v>73</v>
      </c>
      <c r="C273" s="26">
        <v>43281</v>
      </c>
      <c r="D273" s="17">
        <v>412453.28</v>
      </c>
      <c r="E273" s="17">
        <v>412453.28</v>
      </c>
      <c r="F273" s="18">
        <f t="shared" si="4"/>
        <v>0</v>
      </c>
    </row>
    <row r="274" spans="1:6" x14ac:dyDescent="0.25">
      <c r="A274" s="19" t="s">
        <v>63</v>
      </c>
      <c r="B274" t="s">
        <v>359</v>
      </c>
      <c r="C274" s="26">
        <v>43378</v>
      </c>
      <c r="D274" s="17">
        <v>7348.94</v>
      </c>
      <c r="E274" s="17">
        <v>3674.469107142846</v>
      </c>
      <c r="F274" s="18">
        <f t="shared" si="4"/>
        <v>3674.4708928571536</v>
      </c>
    </row>
    <row r="275" spans="1:6" x14ac:dyDescent="0.25">
      <c r="A275" s="19" t="s">
        <v>63</v>
      </c>
      <c r="B275" t="s">
        <v>360</v>
      </c>
      <c r="C275" s="26">
        <v>43434</v>
      </c>
      <c r="D275" s="17">
        <v>13595.5</v>
      </c>
      <c r="E275" s="17">
        <v>2379.2150000000001</v>
      </c>
      <c r="F275" s="18">
        <f t="shared" si="4"/>
        <v>11216.285</v>
      </c>
    </row>
    <row r="276" spans="1:6" x14ac:dyDescent="0.25">
      <c r="A276" t="s">
        <v>63</v>
      </c>
      <c r="B276" t="s">
        <v>74</v>
      </c>
      <c r="C276" s="26">
        <v>43440</v>
      </c>
      <c r="D276" s="17">
        <v>7045</v>
      </c>
      <c r="E276" s="17">
        <v>4931.5</v>
      </c>
      <c r="F276" s="18">
        <f t="shared" si="4"/>
        <v>2113.5</v>
      </c>
    </row>
    <row r="277" spans="1:6" x14ac:dyDescent="0.25">
      <c r="A277" s="19" t="s">
        <v>63</v>
      </c>
      <c r="B277" t="s">
        <v>361</v>
      </c>
      <c r="C277" s="26">
        <v>43497</v>
      </c>
      <c r="D277" s="17">
        <v>6164.11</v>
      </c>
      <c r="E277" s="17">
        <v>3082.0532142857128</v>
      </c>
      <c r="F277" s="18">
        <f t="shared" si="4"/>
        <v>3082.0567857142869</v>
      </c>
    </row>
    <row r="278" spans="1:6" x14ac:dyDescent="0.25">
      <c r="A278" s="19" t="s">
        <v>63</v>
      </c>
      <c r="B278" t="s">
        <v>362</v>
      </c>
      <c r="C278" s="26">
        <v>43553</v>
      </c>
      <c r="D278" s="17">
        <v>6052.82</v>
      </c>
      <c r="E278" s="17">
        <v>3026.4091071428561</v>
      </c>
      <c r="F278" s="18">
        <f t="shared" si="4"/>
        <v>3026.4108928571436</v>
      </c>
    </row>
    <row r="279" spans="1:6" x14ac:dyDescent="0.25">
      <c r="A279" t="s">
        <v>63</v>
      </c>
      <c r="B279" t="s">
        <v>75</v>
      </c>
      <c r="C279" s="26">
        <v>43588</v>
      </c>
      <c r="D279" s="17">
        <v>21706</v>
      </c>
      <c r="E279" s="17">
        <v>15194.2</v>
      </c>
      <c r="F279" s="18">
        <f t="shared" si="4"/>
        <v>6511.7999999999993</v>
      </c>
    </row>
    <row r="280" spans="1:6" x14ac:dyDescent="0.25">
      <c r="A280" t="s">
        <v>63</v>
      </c>
      <c r="B280" t="s">
        <v>76</v>
      </c>
      <c r="C280" s="26">
        <v>43615</v>
      </c>
      <c r="D280" s="17">
        <v>30285</v>
      </c>
      <c r="E280" s="17">
        <v>7066.5</v>
      </c>
      <c r="F280" s="18">
        <f t="shared" si="4"/>
        <v>23218.5</v>
      </c>
    </row>
    <row r="281" spans="1:6" x14ac:dyDescent="0.25">
      <c r="A281" t="s">
        <v>63</v>
      </c>
      <c r="B281" t="s">
        <v>77</v>
      </c>
      <c r="C281" s="26">
        <v>43616</v>
      </c>
      <c r="D281" s="17">
        <v>20665.47</v>
      </c>
      <c r="E281" s="17">
        <v>14465.829000000002</v>
      </c>
      <c r="F281" s="18">
        <f t="shared" si="4"/>
        <v>6199.6409999999996</v>
      </c>
    </row>
    <row r="282" spans="1:6" x14ac:dyDescent="0.25">
      <c r="A282" s="19" t="s">
        <v>63</v>
      </c>
      <c r="B282" t="s">
        <v>363</v>
      </c>
      <c r="C282" s="26">
        <v>43646</v>
      </c>
      <c r="D282" s="17">
        <v>6663.18</v>
      </c>
      <c r="E282" s="17">
        <v>3331.5891071428573</v>
      </c>
      <c r="F282" s="18">
        <f t="shared" si="4"/>
        <v>3331.590892857143</v>
      </c>
    </row>
    <row r="283" spans="1:6" x14ac:dyDescent="0.25">
      <c r="A283" s="19" t="s">
        <v>63</v>
      </c>
      <c r="B283" t="s">
        <v>364</v>
      </c>
      <c r="C283" s="26">
        <v>43646</v>
      </c>
      <c r="D283" s="17">
        <v>56155.86</v>
      </c>
      <c r="E283" s="17">
        <v>56155.86</v>
      </c>
      <c r="F283" s="18">
        <f t="shared" si="4"/>
        <v>0</v>
      </c>
    </row>
    <row r="284" spans="1:6" x14ac:dyDescent="0.25">
      <c r="A284" s="19" t="s">
        <v>63</v>
      </c>
      <c r="B284" s="15" t="s">
        <v>365</v>
      </c>
      <c r="C284" s="16">
        <v>43720</v>
      </c>
      <c r="D284" s="17">
        <v>3773.46</v>
      </c>
      <c r="E284" s="17">
        <v>1347.6648214285719</v>
      </c>
      <c r="F284" s="18">
        <f t="shared" si="4"/>
        <v>2425.7951785714281</v>
      </c>
    </row>
    <row r="285" spans="1:6" x14ac:dyDescent="0.25">
      <c r="A285" t="s">
        <v>63</v>
      </c>
      <c r="B285" s="15" t="s">
        <v>84</v>
      </c>
      <c r="C285" s="16">
        <v>43756</v>
      </c>
      <c r="D285" s="17">
        <v>11000</v>
      </c>
      <c r="E285" s="17">
        <v>11000</v>
      </c>
      <c r="F285" s="18">
        <f t="shared" si="4"/>
        <v>0</v>
      </c>
    </row>
    <row r="286" spans="1:6" x14ac:dyDescent="0.25">
      <c r="A286" s="19" t="s">
        <v>63</v>
      </c>
      <c r="B286" s="15" t="s">
        <v>366</v>
      </c>
      <c r="C286" s="16">
        <v>43770</v>
      </c>
      <c r="D286" s="17">
        <v>31541.07</v>
      </c>
      <c r="E286" s="17">
        <v>11264.667857142857</v>
      </c>
      <c r="F286" s="18">
        <f t="shared" si="4"/>
        <v>20276.402142857143</v>
      </c>
    </row>
    <row r="287" spans="1:6" x14ac:dyDescent="0.25">
      <c r="A287" s="19" t="s">
        <v>63</v>
      </c>
      <c r="B287" s="15" t="s">
        <v>367</v>
      </c>
      <c r="C287" s="16">
        <v>43812</v>
      </c>
      <c r="D287" s="17">
        <v>6023.54</v>
      </c>
      <c r="E287" s="17">
        <v>2151.2637499999992</v>
      </c>
      <c r="F287" s="18">
        <f t="shared" si="4"/>
        <v>3872.2762500000008</v>
      </c>
    </row>
    <row r="288" spans="1:6" x14ac:dyDescent="0.25">
      <c r="A288" s="19" t="s">
        <v>63</v>
      </c>
      <c r="B288" s="15" t="s">
        <v>368</v>
      </c>
      <c r="C288" s="16">
        <v>43896</v>
      </c>
      <c r="D288" s="17">
        <v>7344.66</v>
      </c>
      <c r="E288" s="17">
        <v>2623.0923214285704</v>
      </c>
      <c r="F288" s="18">
        <f t="shared" si="4"/>
        <v>4721.5676785714295</v>
      </c>
    </row>
    <row r="289" spans="1:6" x14ac:dyDescent="0.25">
      <c r="A289" s="19" t="s">
        <v>63</v>
      </c>
      <c r="B289" s="15" t="s">
        <v>369</v>
      </c>
      <c r="C289" s="16">
        <v>43896</v>
      </c>
      <c r="D289" s="17">
        <v>1964.5</v>
      </c>
      <c r="E289" s="17">
        <v>982.25</v>
      </c>
      <c r="F289" s="18">
        <f t="shared" si="4"/>
        <v>982.25</v>
      </c>
    </row>
    <row r="290" spans="1:6" x14ac:dyDescent="0.25">
      <c r="A290" t="s">
        <v>63</v>
      </c>
      <c r="B290" s="15" t="s">
        <v>78</v>
      </c>
      <c r="C290" s="16">
        <v>43924</v>
      </c>
      <c r="D290" s="17">
        <v>16950</v>
      </c>
      <c r="E290" s="17">
        <v>8475</v>
      </c>
      <c r="F290" s="18">
        <f t="shared" si="4"/>
        <v>8475</v>
      </c>
    </row>
    <row r="291" spans="1:6" x14ac:dyDescent="0.25">
      <c r="A291" s="19" t="s">
        <v>63</v>
      </c>
      <c r="B291" s="15" t="s">
        <v>370</v>
      </c>
      <c r="C291" s="16">
        <v>43924</v>
      </c>
      <c r="D291" s="17">
        <v>12022.25</v>
      </c>
      <c r="E291" s="17">
        <v>4293.6607142857101</v>
      </c>
      <c r="F291" s="18">
        <f t="shared" si="4"/>
        <v>7728.5892857142899</v>
      </c>
    </row>
    <row r="292" spans="1:6" x14ac:dyDescent="0.25">
      <c r="A292" s="19" t="s">
        <v>63</v>
      </c>
      <c r="B292" s="15" t="s">
        <v>371</v>
      </c>
      <c r="C292" s="16">
        <v>43952</v>
      </c>
      <c r="D292" s="17">
        <v>2693.65</v>
      </c>
      <c r="E292" s="17">
        <v>673.41250000000002</v>
      </c>
      <c r="F292" s="18">
        <f t="shared" si="4"/>
        <v>2020.2375000000002</v>
      </c>
    </row>
    <row r="293" spans="1:6" x14ac:dyDescent="0.25">
      <c r="A293" t="s">
        <v>63</v>
      </c>
      <c r="B293" s="15" t="s">
        <v>79</v>
      </c>
      <c r="C293" s="16">
        <v>43973</v>
      </c>
      <c r="D293" s="17">
        <v>6790.62</v>
      </c>
      <c r="E293" s="17">
        <v>3395.3100000000004</v>
      </c>
      <c r="F293" s="18">
        <f t="shared" si="4"/>
        <v>3395.3099999999995</v>
      </c>
    </row>
    <row r="294" spans="1:6" x14ac:dyDescent="0.25">
      <c r="A294" s="19" t="s">
        <v>63</v>
      </c>
      <c r="B294" s="15" t="s">
        <v>372</v>
      </c>
      <c r="C294" s="16">
        <v>44012</v>
      </c>
      <c r="D294" s="17">
        <v>5811.09</v>
      </c>
      <c r="E294" s="17">
        <v>2075.3892857142869</v>
      </c>
      <c r="F294" s="18">
        <f t="shared" si="4"/>
        <v>3735.7007142857133</v>
      </c>
    </row>
    <row r="295" spans="1:6" x14ac:dyDescent="0.25">
      <c r="A295" t="s">
        <v>63</v>
      </c>
      <c r="B295" s="15" t="s">
        <v>85</v>
      </c>
      <c r="C295" s="16">
        <v>44012</v>
      </c>
      <c r="D295" s="17">
        <v>5063.75</v>
      </c>
      <c r="E295" s="17">
        <v>0</v>
      </c>
      <c r="F295" s="18">
        <f t="shared" si="4"/>
        <v>5063.75</v>
      </c>
    </row>
    <row r="296" spans="1:6" x14ac:dyDescent="0.25">
      <c r="A296" s="19" t="s">
        <v>63</v>
      </c>
      <c r="B296" t="s">
        <v>373</v>
      </c>
      <c r="C296" s="16">
        <v>44074</v>
      </c>
      <c r="D296" s="17">
        <v>36884.840000000004</v>
      </c>
      <c r="E296" s="17">
        <v>7903.8942857142865</v>
      </c>
      <c r="F296" s="18">
        <f t="shared" si="4"/>
        <v>28980.945714285717</v>
      </c>
    </row>
    <row r="297" spans="1:6" x14ac:dyDescent="0.25">
      <c r="A297" t="s">
        <v>63</v>
      </c>
      <c r="B297" t="s">
        <v>373</v>
      </c>
      <c r="C297" s="16">
        <v>44074</v>
      </c>
      <c r="D297" s="17">
        <v>4236</v>
      </c>
      <c r="E297" s="17">
        <v>907.71428571428567</v>
      </c>
      <c r="F297" s="18">
        <f t="shared" si="4"/>
        <v>3328.2857142857142</v>
      </c>
    </row>
    <row r="298" spans="1:6" x14ac:dyDescent="0.25">
      <c r="A298" s="19" t="s">
        <v>63</v>
      </c>
      <c r="B298" t="s">
        <v>374</v>
      </c>
      <c r="C298" s="16">
        <v>44202</v>
      </c>
      <c r="D298" s="17">
        <v>11981.09</v>
      </c>
      <c r="E298" s="17">
        <v>2567.3762500000007</v>
      </c>
      <c r="F298" s="18">
        <f t="shared" si="4"/>
        <v>9413.713749999999</v>
      </c>
    </row>
    <row r="299" spans="1:6" x14ac:dyDescent="0.25">
      <c r="A299" t="s">
        <v>63</v>
      </c>
      <c r="B299" t="s">
        <v>375</v>
      </c>
      <c r="C299" s="16">
        <v>44237</v>
      </c>
      <c r="D299" s="17">
        <v>5731.99</v>
      </c>
      <c r="E299" s="17">
        <v>573.19899999999996</v>
      </c>
      <c r="F299" s="18">
        <f t="shared" si="4"/>
        <v>5158.7910000000002</v>
      </c>
    </row>
    <row r="300" spans="1:6" x14ac:dyDescent="0.25">
      <c r="A300" s="19" t="s">
        <v>63</v>
      </c>
      <c r="B300" t="s">
        <v>376</v>
      </c>
      <c r="C300" s="16">
        <v>44342</v>
      </c>
      <c r="D300" s="17">
        <v>23819.39</v>
      </c>
      <c r="E300" s="17">
        <v>3572.908375</v>
      </c>
      <c r="F300" s="18">
        <f t="shared" si="4"/>
        <v>20246.481625</v>
      </c>
    </row>
    <row r="301" spans="1:6" x14ac:dyDescent="0.25">
      <c r="A301" t="s">
        <v>67</v>
      </c>
      <c r="B301" t="s">
        <v>377</v>
      </c>
      <c r="C301" s="16">
        <v>44349</v>
      </c>
      <c r="D301" s="17">
        <v>31492</v>
      </c>
      <c r="E301" s="17">
        <v>1574.6</v>
      </c>
      <c r="F301" s="18">
        <f t="shared" si="4"/>
        <v>29917.4</v>
      </c>
    </row>
    <row r="302" spans="1:6" x14ac:dyDescent="0.25">
      <c r="A302" s="19" t="s">
        <v>63</v>
      </c>
      <c r="B302" t="s">
        <v>378</v>
      </c>
      <c r="C302" s="16">
        <v>44354</v>
      </c>
      <c r="D302" s="17">
        <v>2248.44</v>
      </c>
      <c r="E302" s="17">
        <v>481.80839285714279</v>
      </c>
      <c r="F302" s="18">
        <f t="shared" si="4"/>
        <v>1766.6316071428573</v>
      </c>
    </row>
    <row r="303" spans="1:6" x14ac:dyDescent="0.25">
      <c r="A303" t="s">
        <v>63</v>
      </c>
      <c r="B303" t="s">
        <v>379</v>
      </c>
      <c r="C303" s="16">
        <v>44383</v>
      </c>
      <c r="D303" s="17">
        <v>135183.97</v>
      </c>
      <c r="E303" s="17">
        <v>13518.397000000001</v>
      </c>
      <c r="F303" s="18">
        <f t="shared" si="4"/>
        <v>121665.573</v>
      </c>
    </row>
    <row r="304" spans="1:6" x14ac:dyDescent="0.25">
      <c r="A304" t="s">
        <v>63</v>
      </c>
      <c r="B304" t="s">
        <v>380</v>
      </c>
      <c r="C304" s="16">
        <v>44408</v>
      </c>
      <c r="D304" s="17">
        <v>6360.87</v>
      </c>
      <c r="E304" s="17">
        <v>636.08699999999999</v>
      </c>
      <c r="F304" s="18">
        <f t="shared" si="4"/>
        <v>5724.7829999999994</v>
      </c>
    </row>
    <row r="305" spans="1:6" x14ac:dyDescent="0.25">
      <c r="A305" t="s">
        <v>63</v>
      </c>
      <c r="B305" t="s">
        <v>381</v>
      </c>
      <c r="C305" s="16">
        <v>44455</v>
      </c>
      <c r="D305" s="17">
        <v>5280</v>
      </c>
      <c r="E305" s="17">
        <v>528</v>
      </c>
      <c r="F305" s="18">
        <f t="shared" si="4"/>
        <v>4752</v>
      </c>
    </row>
    <row r="306" spans="1:6" x14ac:dyDescent="0.25">
      <c r="A306" t="s">
        <v>63</v>
      </c>
      <c r="B306" t="s">
        <v>382</v>
      </c>
      <c r="C306" s="16">
        <v>44589</v>
      </c>
      <c r="D306" s="17">
        <v>27598.240000000002</v>
      </c>
      <c r="E306" s="17">
        <v>27598.240000000002</v>
      </c>
      <c r="F306" s="18">
        <f t="shared" si="4"/>
        <v>0</v>
      </c>
    </row>
    <row r="307" spans="1:6" x14ac:dyDescent="0.25">
      <c r="A307" t="s">
        <v>63</v>
      </c>
      <c r="B307" t="s">
        <v>383</v>
      </c>
      <c r="C307" s="16">
        <v>44589</v>
      </c>
      <c r="D307" s="17">
        <v>19687.54</v>
      </c>
      <c r="E307" s="17">
        <v>19687.54</v>
      </c>
      <c r="F307" s="18">
        <f t="shared" si="4"/>
        <v>0</v>
      </c>
    </row>
    <row r="308" spans="1:6" x14ac:dyDescent="0.25">
      <c r="A308" t="s">
        <v>63</v>
      </c>
      <c r="B308" t="s">
        <v>384</v>
      </c>
      <c r="C308" s="16">
        <v>44630</v>
      </c>
      <c r="D308" s="17">
        <v>6179</v>
      </c>
      <c r="E308" s="17">
        <v>6179</v>
      </c>
      <c r="F308" s="18">
        <f t="shared" si="4"/>
        <v>0</v>
      </c>
    </row>
    <row r="309" spans="1:6" x14ac:dyDescent="0.25">
      <c r="A309" t="s">
        <v>63</v>
      </c>
      <c r="B309" t="s">
        <v>385</v>
      </c>
      <c r="C309" s="16">
        <v>44679</v>
      </c>
      <c r="D309" s="17">
        <v>17236.599999999999</v>
      </c>
      <c r="E309" s="17">
        <v>1723.6599999999999</v>
      </c>
      <c r="F309" s="18">
        <f t="shared" si="4"/>
        <v>15512.939999999999</v>
      </c>
    </row>
    <row r="310" spans="1:6" x14ac:dyDescent="0.25">
      <c r="A310" t="s">
        <v>107</v>
      </c>
      <c r="B310" t="s">
        <v>386</v>
      </c>
      <c r="C310" s="16">
        <v>44742</v>
      </c>
      <c r="D310" s="17">
        <v>477742.39</v>
      </c>
      <c r="E310" s="17">
        <v>0</v>
      </c>
      <c r="F310" s="18">
        <f t="shared" si="4"/>
        <v>477742.39</v>
      </c>
    </row>
    <row r="311" spans="1:6" x14ac:dyDescent="0.25">
      <c r="A311" t="s">
        <v>86</v>
      </c>
      <c r="B311" t="s">
        <v>88</v>
      </c>
      <c r="C311" s="26">
        <v>43646</v>
      </c>
      <c r="D311" s="17">
        <v>446237.57999999996</v>
      </c>
      <c r="E311" s="17"/>
      <c r="F311" s="18">
        <f t="shared" si="4"/>
        <v>446237.57999999996</v>
      </c>
    </row>
    <row r="312" spans="1:6" x14ac:dyDescent="0.25">
      <c r="A312" t="s">
        <v>86</v>
      </c>
      <c r="B312" t="s">
        <v>92</v>
      </c>
      <c r="C312" s="26">
        <v>43646</v>
      </c>
      <c r="D312" s="17">
        <v>149235.5</v>
      </c>
      <c r="E312" s="17"/>
      <c r="F312" s="18">
        <f t="shared" si="4"/>
        <v>149235.5</v>
      </c>
    </row>
    <row r="313" spans="1:6" x14ac:dyDescent="0.25">
      <c r="A313" t="s">
        <v>86</v>
      </c>
      <c r="B313" t="s">
        <v>87</v>
      </c>
      <c r="C313" s="16">
        <v>44012</v>
      </c>
      <c r="D313" s="17">
        <v>234008.53999999998</v>
      </c>
      <c r="E313" s="17">
        <f>D313*0.03</f>
        <v>7020.2561999999989</v>
      </c>
      <c r="F313" s="18">
        <f t="shared" si="4"/>
        <v>226988.28379999998</v>
      </c>
    </row>
    <row r="314" spans="1:6" x14ac:dyDescent="0.25">
      <c r="A314" t="s">
        <v>86</v>
      </c>
      <c r="B314" t="s">
        <v>93</v>
      </c>
      <c r="C314" s="16">
        <v>44012</v>
      </c>
      <c r="D314" s="17">
        <v>583206.88</v>
      </c>
      <c r="E314" s="17">
        <v>0</v>
      </c>
      <c r="F314" s="18">
        <f t="shared" si="4"/>
        <v>583206.88</v>
      </c>
    </row>
    <row r="315" spans="1:6" x14ac:dyDescent="0.25">
      <c r="A315" t="s">
        <v>86</v>
      </c>
      <c r="B315" t="s">
        <v>89</v>
      </c>
      <c r="C315" s="16">
        <v>44012</v>
      </c>
      <c r="D315" s="17">
        <v>185212.45</v>
      </c>
      <c r="E315" s="17">
        <v>0</v>
      </c>
      <c r="F315" s="18">
        <f t="shared" si="4"/>
        <v>185212.45</v>
      </c>
    </row>
    <row r="316" spans="1:6" x14ac:dyDescent="0.25">
      <c r="A316" t="s">
        <v>86</v>
      </c>
      <c r="B316" t="s">
        <v>90</v>
      </c>
      <c r="C316" s="16">
        <v>44012</v>
      </c>
      <c r="D316" s="17">
        <v>131424.20000000001</v>
      </c>
      <c r="E316" s="17">
        <v>0</v>
      </c>
      <c r="F316" s="18">
        <f t="shared" si="4"/>
        <v>131424.20000000001</v>
      </c>
    </row>
    <row r="317" spans="1:6" x14ac:dyDescent="0.25">
      <c r="A317" t="s">
        <v>86</v>
      </c>
      <c r="B317" t="s">
        <v>94</v>
      </c>
      <c r="C317" s="16">
        <v>44012</v>
      </c>
      <c r="D317" s="17">
        <v>6622.28</v>
      </c>
      <c r="E317" s="17">
        <v>0</v>
      </c>
      <c r="F317" s="18">
        <f t="shared" si="4"/>
        <v>6622.28</v>
      </c>
    </row>
    <row r="318" spans="1:6" x14ac:dyDescent="0.25">
      <c r="A318" t="s">
        <v>86</v>
      </c>
      <c r="B318" t="s">
        <v>387</v>
      </c>
      <c r="C318" s="16">
        <v>44377</v>
      </c>
      <c r="D318" s="17">
        <v>71044.549999999988</v>
      </c>
      <c r="E318" s="17">
        <f>D318*0.03</f>
        <v>2131.3364999999994</v>
      </c>
      <c r="F318" s="18">
        <f t="shared" si="4"/>
        <v>68913.213499999983</v>
      </c>
    </row>
    <row r="319" spans="1:6" x14ac:dyDescent="0.25">
      <c r="A319" t="s">
        <v>86</v>
      </c>
      <c r="B319" t="s">
        <v>386</v>
      </c>
      <c r="C319" s="16">
        <v>44377</v>
      </c>
      <c r="D319" s="17">
        <v>0</v>
      </c>
      <c r="E319" s="17">
        <v>0</v>
      </c>
      <c r="F319" s="18">
        <f t="shared" si="4"/>
        <v>0</v>
      </c>
    </row>
    <row r="320" spans="1:6" x14ac:dyDescent="0.25">
      <c r="A320" t="s">
        <v>86</v>
      </c>
      <c r="B320" t="s">
        <v>388</v>
      </c>
      <c r="C320" s="16">
        <v>44377</v>
      </c>
      <c r="D320" s="17">
        <v>179816.34</v>
      </c>
      <c r="E320" s="17">
        <v>0</v>
      </c>
      <c r="F320" s="18">
        <f t="shared" si="4"/>
        <v>179816.34</v>
      </c>
    </row>
    <row r="321" spans="1:6" x14ac:dyDescent="0.25">
      <c r="A321" s="27" t="s">
        <v>86</v>
      </c>
      <c r="B321" s="27" t="s">
        <v>389</v>
      </c>
      <c r="C321" s="23">
        <v>44742</v>
      </c>
      <c r="D321" s="24">
        <v>37951.379999999997</v>
      </c>
      <c r="E321" s="24">
        <v>0</v>
      </c>
      <c r="F321" s="18">
        <f t="shared" si="4"/>
        <v>37951.379999999997</v>
      </c>
    </row>
    <row r="322" spans="1:6" x14ac:dyDescent="0.25">
      <c r="A322" t="s">
        <v>86</v>
      </c>
      <c r="B322" t="s">
        <v>390</v>
      </c>
      <c r="C322" s="16">
        <v>44742</v>
      </c>
      <c r="D322" s="17">
        <v>0</v>
      </c>
      <c r="E322" s="17">
        <v>0</v>
      </c>
      <c r="F322" s="18">
        <f t="shared" si="4"/>
        <v>0</v>
      </c>
    </row>
    <row r="323" spans="1:6" x14ac:dyDescent="0.25">
      <c r="A323" t="s">
        <v>70</v>
      </c>
      <c r="B323" s="15" t="s">
        <v>391</v>
      </c>
      <c r="C323" s="16">
        <v>41820</v>
      </c>
      <c r="D323" s="17">
        <v>15080</v>
      </c>
      <c r="E323" s="17">
        <v>15080</v>
      </c>
      <c r="F323" s="18">
        <f t="shared" si="4"/>
        <v>0</v>
      </c>
    </row>
    <row r="324" spans="1:6" x14ac:dyDescent="0.25">
      <c r="A324" t="s">
        <v>70</v>
      </c>
      <c r="B324" s="15" t="s">
        <v>392</v>
      </c>
      <c r="C324" s="16">
        <v>41820</v>
      </c>
      <c r="D324" s="17">
        <v>21700</v>
      </c>
      <c r="E324" s="17">
        <v>21700</v>
      </c>
      <c r="F324" s="18">
        <f t="shared" si="4"/>
        <v>0</v>
      </c>
    </row>
    <row r="325" spans="1:6" x14ac:dyDescent="0.25">
      <c r="A325" t="s">
        <v>70</v>
      </c>
      <c r="B325" s="15" t="s">
        <v>393</v>
      </c>
      <c r="C325" s="16">
        <v>41820</v>
      </c>
      <c r="D325" s="17">
        <v>21970</v>
      </c>
      <c r="E325" s="17">
        <v>0</v>
      </c>
      <c r="F325" s="18">
        <f t="shared" ref="F325:F350" si="5">+D325-E325</f>
        <v>21970</v>
      </c>
    </row>
    <row r="326" spans="1:6" x14ac:dyDescent="0.25">
      <c r="A326" t="s">
        <v>70</v>
      </c>
      <c r="B326" s="15" t="s">
        <v>394</v>
      </c>
      <c r="C326" s="16">
        <v>41820</v>
      </c>
      <c r="D326" s="17">
        <v>175825</v>
      </c>
      <c r="E326" s="17">
        <v>0</v>
      </c>
      <c r="F326" s="18">
        <f t="shared" si="5"/>
        <v>175825</v>
      </c>
    </row>
    <row r="327" spans="1:6" x14ac:dyDescent="0.25">
      <c r="A327" t="s">
        <v>70</v>
      </c>
      <c r="B327" t="s">
        <v>395</v>
      </c>
      <c r="C327" s="26">
        <v>42551</v>
      </c>
      <c r="D327" s="17">
        <v>74535.149999999994</v>
      </c>
      <c r="E327" s="17">
        <v>0</v>
      </c>
      <c r="F327" s="18">
        <f t="shared" si="5"/>
        <v>74535.149999999994</v>
      </c>
    </row>
    <row r="328" spans="1:6" x14ac:dyDescent="0.25">
      <c r="A328" t="s">
        <v>70</v>
      </c>
      <c r="B328" t="s">
        <v>71</v>
      </c>
      <c r="C328" s="26">
        <v>42916</v>
      </c>
      <c r="D328" s="17">
        <v>566311.88</v>
      </c>
      <c r="E328" s="17">
        <v>77867.883499999996</v>
      </c>
      <c r="F328" s="18">
        <f t="shared" si="5"/>
        <v>488443.99650000001</v>
      </c>
    </row>
    <row r="329" spans="1:6" x14ac:dyDescent="0.25">
      <c r="A329" t="s">
        <v>70</v>
      </c>
      <c r="B329" t="s">
        <v>100</v>
      </c>
      <c r="C329" s="26">
        <v>42916</v>
      </c>
      <c r="D329" s="17">
        <v>96800</v>
      </c>
      <c r="E329" s="17">
        <v>96800</v>
      </c>
      <c r="F329" s="18">
        <f t="shared" si="5"/>
        <v>0</v>
      </c>
    </row>
    <row r="330" spans="1:6" x14ac:dyDescent="0.25">
      <c r="A330" t="s">
        <v>70</v>
      </c>
      <c r="B330" t="s">
        <v>106</v>
      </c>
      <c r="C330" s="26">
        <v>42916</v>
      </c>
      <c r="D330" s="17">
        <v>112800</v>
      </c>
      <c r="E330" s="17">
        <v>112800</v>
      </c>
      <c r="F330" s="18">
        <f t="shared" si="5"/>
        <v>0</v>
      </c>
    </row>
    <row r="331" spans="1:6" x14ac:dyDescent="0.25">
      <c r="A331" t="s">
        <v>70</v>
      </c>
      <c r="B331" t="s">
        <v>102</v>
      </c>
      <c r="C331" s="26">
        <v>43281</v>
      </c>
      <c r="D331" s="17">
        <v>19700</v>
      </c>
      <c r="E331" s="17">
        <v>19700</v>
      </c>
      <c r="F331" s="18">
        <f t="shared" si="5"/>
        <v>0</v>
      </c>
    </row>
    <row r="332" spans="1:6" x14ac:dyDescent="0.25">
      <c r="A332" t="s">
        <v>70</v>
      </c>
      <c r="B332" t="s">
        <v>95</v>
      </c>
      <c r="C332" s="26">
        <v>43281</v>
      </c>
      <c r="D332" s="17">
        <v>91800</v>
      </c>
      <c r="E332" s="17">
        <v>91800</v>
      </c>
      <c r="F332" s="18">
        <f t="shared" si="5"/>
        <v>0</v>
      </c>
    </row>
    <row r="333" spans="1:6" x14ac:dyDescent="0.25">
      <c r="A333" t="s">
        <v>70</v>
      </c>
      <c r="B333" t="s">
        <v>98</v>
      </c>
      <c r="C333" s="26">
        <v>43281</v>
      </c>
      <c r="D333" s="17">
        <v>391700</v>
      </c>
      <c r="E333" s="17">
        <v>391700</v>
      </c>
      <c r="F333" s="18">
        <f t="shared" si="5"/>
        <v>0</v>
      </c>
    </row>
    <row r="334" spans="1:6" x14ac:dyDescent="0.25">
      <c r="A334" t="s">
        <v>70</v>
      </c>
      <c r="B334" t="s">
        <v>99</v>
      </c>
      <c r="C334" s="26">
        <v>43281</v>
      </c>
      <c r="D334" s="17">
        <v>140000</v>
      </c>
      <c r="E334" s="17">
        <v>140000</v>
      </c>
      <c r="F334" s="18">
        <f t="shared" si="5"/>
        <v>0</v>
      </c>
    </row>
    <row r="335" spans="1:6" x14ac:dyDescent="0.25">
      <c r="A335" t="s">
        <v>70</v>
      </c>
      <c r="B335" t="s">
        <v>97</v>
      </c>
      <c r="C335" s="26">
        <v>43646</v>
      </c>
      <c r="D335" s="17">
        <v>118040</v>
      </c>
      <c r="E335" s="17">
        <v>118040</v>
      </c>
      <c r="F335" s="18">
        <f t="shared" si="5"/>
        <v>0</v>
      </c>
    </row>
    <row r="336" spans="1:6" x14ac:dyDescent="0.25">
      <c r="A336" t="s">
        <v>70</v>
      </c>
      <c r="B336" t="s">
        <v>103</v>
      </c>
      <c r="C336" s="26">
        <v>43646</v>
      </c>
      <c r="D336" s="17">
        <v>68635</v>
      </c>
      <c r="E336" s="17">
        <v>68635</v>
      </c>
      <c r="F336" s="18">
        <f t="shared" si="5"/>
        <v>0</v>
      </c>
    </row>
    <row r="337" spans="1:6" x14ac:dyDescent="0.25">
      <c r="A337" t="s">
        <v>70</v>
      </c>
      <c r="B337" s="15" t="s">
        <v>96</v>
      </c>
      <c r="C337" s="16">
        <v>44012</v>
      </c>
      <c r="D337" s="17">
        <v>63612</v>
      </c>
      <c r="E337" s="17">
        <v>63612</v>
      </c>
      <c r="F337" s="18">
        <f t="shared" si="5"/>
        <v>0</v>
      </c>
    </row>
    <row r="338" spans="1:6" x14ac:dyDescent="0.25">
      <c r="A338" t="s">
        <v>70</v>
      </c>
      <c r="B338" s="15" t="s">
        <v>101</v>
      </c>
      <c r="C338" s="16">
        <v>44012</v>
      </c>
      <c r="D338" s="17">
        <v>55944</v>
      </c>
      <c r="E338" s="17">
        <v>55944</v>
      </c>
      <c r="F338" s="18">
        <f t="shared" si="5"/>
        <v>0</v>
      </c>
    </row>
    <row r="339" spans="1:6" x14ac:dyDescent="0.25">
      <c r="A339" t="s">
        <v>70</v>
      </c>
      <c r="B339" s="15" t="s">
        <v>104</v>
      </c>
      <c r="C339" s="16">
        <v>44012</v>
      </c>
      <c r="D339" s="17">
        <v>278640</v>
      </c>
      <c r="E339" s="17">
        <v>278640</v>
      </c>
      <c r="F339" s="18">
        <f t="shared" si="5"/>
        <v>0</v>
      </c>
    </row>
    <row r="340" spans="1:6" x14ac:dyDescent="0.25">
      <c r="A340" t="s">
        <v>70</v>
      </c>
      <c r="B340" s="15" t="s">
        <v>105</v>
      </c>
      <c r="C340" s="16">
        <v>44012</v>
      </c>
      <c r="D340" s="17">
        <v>151200</v>
      </c>
      <c r="E340" s="17">
        <v>151200</v>
      </c>
      <c r="F340" s="18">
        <f t="shared" si="5"/>
        <v>0</v>
      </c>
    </row>
    <row r="341" spans="1:6" x14ac:dyDescent="0.25">
      <c r="A341" t="s">
        <v>70</v>
      </c>
      <c r="B341" t="s">
        <v>91</v>
      </c>
      <c r="C341" s="16">
        <v>44012</v>
      </c>
      <c r="D341" s="17">
        <v>356971.78</v>
      </c>
      <c r="E341" s="17">
        <v>22310.736250000002</v>
      </c>
      <c r="F341" s="18">
        <f t="shared" si="5"/>
        <v>334661.04375000001</v>
      </c>
    </row>
    <row r="342" spans="1:6" x14ac:dyDescent="0.25">
      <c r="A342" t="s">
        <v>70</v>
      </c>
      <c r="B342" s="15" t="s">
        <v>396</v>
      </c>
      <c r="C342" s="16">
        <v>44377</v>
      </c>
      <c r="D342" s="17">
        <v>170800</v>
      </c>
      <c r="E342" s="17">
        <v>170800</v>
      </c>
      <c r="F342" s="18">
        <f t="shared" si="5"/>
        <v>0</v>
      </c>
    </row>
    <row r="343" spans="1:6" x14ac:dyDescent="0.25">
      <c r="A343" t="s">
        <v>70</v>
      </c>
      <c r="B343" t="s">
        <v>397</v>
      </c>
      <c r="C343" s="16">
        <v>44742</v>
      </c>
      <c r="D343" s="53">
        <v>295808.90000000002</v>
      </c>
      <c r="E343" s="17">
        <v>3697.6112500000004</v>
      </c>
      <c r="F343" s="18">
        <f t="shared" si="5"/>
        <v>292111.28875000001</v>
      </c>
    </row>
    <row r="344" spans="1:6" x14ac:dyDescent="0.25">
      <c r="A344" t="s">
        <v>70</v>
      </c>
      <c r="B344" t="s">
        <v>90</v>
      </c>
      <c r="C344" s="16">
        <v>44742</v>
      </c>
      <c r="D344" s="17">
        <v>161718.39000000001</v>
      </c>
      <c r="E344" s="17">
        <v>2021.4798750000002</v>
      </c>
      <c r="F344" s="18">
        <f t="shared" si="5"/>
        <v>159696.91012500002</v>
      </c>
    </row>
    <row r="345" spans="1:6" x14ac:dyDescent="0.25">
      <c r="A345" t="s">
        <v>70</v>
      </c>
      <c r="B345" t="s">
        <v>390</v>
      </c>
      <c r="C345" s="16">
        <v>44742</v>
      </c>
      <c r="D345" s="17">
        <v>88636.17</v>
      </c>
      <c r="E345" s="17">
        <v>1107.952125</v>
      </c>
      <c r="F345" s="18">
        <f t="shared" si="5"/>
        <v>87528.217875000002</v>
      </c>
    </row>
    <row r="346" spans="1:6" x14ac:dyDescent="0.25">
      <c r="A346" t="s">
        <v>70</v>
      </c>
      <c r="B346" s="15" t="s">
        <v>398</v>
      </c>
      <c r="C346" s="16">
        <v>44742</v>
      </c>
      <c r="D346" s="17">
        <v>39375</v>
      </c>
      <c r="E346" s="17">
        <v>39375</v>
      </c>
      <c r="F346" s="18">
        <f t="shared" si="5"/>
        <v>0</v>
      </c>
    </row>
    <row r="347" spans="1:6" x14ac:dyDescent="0.25">
      <c r="A347" t="s">
        <v>70</v>
      </c>
      <c r="B347" s="15" t="s">
        <v>399</v>
      </c>
      <c r="C347" s="16">
        <v>44742</v>
      </c>
      <c r="D347" s="17">
        <v>48500</v>
      </c>
      <c r="E347" s="17">
        <v>48500</v>
      </c>
      <c r="F347" s="18">
        <f t="shared" si="5"/>
        <v>0</v>
      </c>
    </row>
    <row r="348" spans="1:6" x14ac:dyDescent="0.25">
      <c r="A348" t="s">
        <v>70</v>
      </c>
      <c r="B348" s="15" t="s">
        <v>400</v>
      </c>
      <c r="C348" s="16">
        <v>44742</v>
      </c>
      <c r="D348" s="17">
        <v>775875</v>
      </c>
      <c r="E348" s="17">
        <v>775875</v>
      </c>
      <c r="F348" s="18">
        <f t="shared" si="5"/>
        <v>0</v>
      </c>
    </row>
    <row r="349" spans="1:6" x14ac:dyDescent="0.25">
      <c r="A349" t="s">
        <v>70</v>
      </c>
      <c r="B349" s="15" t="s">
        <v>401</v>
      </c>
      <c r="C349" s="16">
        <v>44742</v>
      </c>
      <c r="D349" s="17">
        <v>695875</v>
      </c>
      <c r="E349" s="17">
        <v>695875</v>
      </c>
      <c r="F349" s="18">
        <f t="shared" si="5"/>
        <v>0</v>
      </c>
    </row>
    <row r="350" spans="1:6" x14ac:dyDescent="0.25">
      <c r="A350" t="s">
        <v>70</v>
      </c>
      <c r="B350" t="s">
        <v>402</v>
      </c>
      <c r="C350" s="16">
        <v>44742</v>
      </c>
      <c r="D350" s="17">
        <v>97000</v>
      </c>
      <c r="E350" s="17">
        <v>97000</v>
      </c>
      <c r="F350" s="18">
        <f t="shared" si="5"/>
        <v>0</v>
      </c>
    </row>
    <row r="352" spans="1:6" x14ac:dyDescent="0.25">
      <c r="D352" s="28">
        <f>SUM(D5:D351)-D343-D224-D221-D220-D219-D196-D54-D40-D8-D329-D330-D331-D332-D333-D334-D335-D336-D337-D338-D339-D340-D342-D346-D347-D348-D350-D349-D12-D13-D16-D17-D18-D19-D21-D101-D106-D107-D108-D109-D110-D111-D112-D113-D114-D115-D116-D122-D123-D124-D128-D137-D141-D149-D164-D176-D177-D178-D179-D180-D183-D185-D186-D187-D188-D191-D193-D194-D197-D199-D205-D206-D207-D214-D218-D222-D226-D227-D228-D233-D234-D235-D238-D239-D240-D241-D242-D255-D262-D264-D265-D266-D267-D268-D269-D274-D275-D277-D278-D282-D286-D287-D288-D291-D294-D296-D297-D298-D300-D302-D303-D304-D323-D324-D360-D38-D39-D42-D50-D52-D156-D157-D158-D118-D127-D169-D170-D171-D172-D173-D174-D213-D225-D290-D293-D306-D307</f>
        <v>28933104.650000013</v>
      </c>
      <c r="F352" s="28">
        <f>SUM(F5:F351)</f>
        <v>27274533.495195225</v>
      </c>
    </row>
    <row r="355" spans="2:6" x14ac:dyDescent="0.25">
      <c r="B355" t="s">
        <v>404</v>
      </c>
      <c r="D355" s="29">
        <v>6285960</v>
      </c>
    </row>
    <row r="358" spans="2:6" x14ac:dyDescent="0.25">
      <c r="B358" s="54" t="s">
        <v>421</v>
      </c>
      <c r="D358" s="28">
        <f>D352-D355-'CIP List'!G49</f>
        <v>22647144.650000013</v>
      </c>
      <c r="F358" s="28">
        <f>F352</f>
        <v>27274533.495195225</v>
      </c>
    </row>
    <row r="360" spans="2:6" x14ac:dyDescent="0.25">
      <c r="B360" s="54" t="s">
        <v>422</v>
      </c>
      <c r="D360" s="28">
        <f>D343+D224+D221+D220+D219+D196+D54+D40+D8</f>
        <v>3546565.9</v>
      </c>
      <c r="F360" s="28">
        <f>D360</f>
        <v>3546565.9</v>
      </c>
    </row>
  </sheetData>
  <sheetProtection algorithmName="SHA-512" hashValue="7D9k3sjagKz+JHFSun2l6LpeAjUfnkqXbjl+uXEJEcfuN1kRlFFkmq5B8+kTH78NiqgOn1NVS991az66x5jmzA==" saltValue="NuWrM2aJyyMR2ENHEVZN9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9AB66-7D30-44B0-96AD-11EFB0A2B3EF}">
  <sheetPr>
    <pageSetUpPr fitToPage="1"/>
  </sheetPr>
  <dimension ref="A1:H53"/>
  <sheetViews>
    <sheetView tabSelected="1" topLeftCell="A33" zoomScale="84" zoomScaleNormal="84" workbookViewId="0">
      <selection activeCell="F3" sqref="F3"/>
    </sheetView>
  </sheetViews>
  <sheetFormatPr defaultRowHeight="15" x14ac:dyDescent="0.25"/>
  <cols>
    <col min="1" max="1" width="43.140625" style="73" customWidth="1"/>
    <col min="2" max="2" width="13.42578125" style="73" customWidth="1"/>
    <col min="3" max="3" width="12.28515625" style="73" customWidth="1"/>
    <col min="4" max="4" width="11.7109375" style="73" customWidth="1"/>
    <col min="5" max="5" width="15.42578125" style="73" customWidth="1"/>
    <col min="6" max="6" width="16.5703125" style="73" customWidth="1"/>
    <col min="7" max="7" width="16.42578125" style="73" customWidth="1"/>
  </cols>
  <sheetData>
    <row r="1" spans="1:7" ht="31.5" x14ac:dyDescent="0.25">
      <c r="A1" s="74" t="s">
        <v>459</v>
      </c>
    </row>
    <row r="2" spans="1:7" x14ac:dyDescent="0.25">
      <c r="A2" s="72" t="s">
        <v>460</v>
      </c>
    </row>
    <row r="3" spans="1:7" ht="30" x14ac:dyDescent="0.25">
      <c r="A3" s="75" t="s">
        <v>11</v>
      </c>
      <c r="B3" s="81" t="s">
        <v>12</v>
      </c>
      <c r="C3" s="81" t="s">
        <v>13</v>
      </c>
      <c r="D3" s="81" t="s">
        <v>14</v>
      </c>
      <c r="E3" s="81" t="s">
        <v>15</v>
      </c>
      <c r="F3" s="100" t="s">
        <v>462</v>
      </c>
      <c r="G3" s="81" t="s">
        <v>463</v>
      </c>
    </row>
    <row r="4" spans="1:7" ht="35.1" customHeight="1" x14ac:dyDescent="0.25">
      <c r="A4" s="76" t="s">
        <v>20</v>
      </c>
      <c r="B4" s="4" t="s">
        <v>21</v>
      </c>
      <c r="C4" s="5">
        <v>3915000</v>
      </c>
      <c r="D4" s="5"/>
      <c r="E4" s="3">
        <f t="shared" ref="E4:E12" si="0">SUM(C4:D4)</f>
        <v>3915000</v>
      </c>
      <c r="F4" s="82">
        <v>0.495</v>
      </c>
      <c r="G4" s="83">
        <f t="shared" ref="G4:G12" si="1">IFERROR(F4*E4,0)</f>
        <v>1937925</v>
      </c>
    </row>
    <row r="5" spans="1:7" ht="35.1" customHeight="1" x14ac:dyDescent="0.25">
      <c r="A5" s="77" t="s">
        <v>22</v>
      </c>
      <c r="B5" s="4"/>
      <c r="C5" s="5">
        <v>600000</v>
      </c>
      <c r="D5" s="5"/>
      <c r="E5" s="3">
        <f t="shared" si="0"/>
        <v>600000</v>
      </c>
      <c r="F5" s="82">
        <v>0.496</v>
      </c>
      <c r="G5" s="83">
        <f t="shared" si="1"/>
        <v>297600</v>
      </c>
    </row>
    <row r="6" spans="1:7" ht="35.1" customHeight="1" x14ac:dyDescent="0.25">
      <c r="A6" s="76" t="s">
        <v>456</v>
      </c>
      <c r="B6" s="4"/>
      <c r="C6" s="5">
        <v>25600000</v>
      </c>
      <c r="D6" s="5"/>
      <c r="E6" s="3">
        <f t="shared" si="0"/>
        <v>25600000</v>
      </c>
      <c r="F6" s="82">
        <v>0.495</v>
      </c>
      <c r="G6" s="83">
        <f t="shared" si="1"/>
        <v>12672000</v>
      </c>
    </row>
    <row r="7" spans="1:7" ht="35.1" customHeight="1" x14ac:dyDescent="0.25">
      <c r="A7" s="76" t="s">
        <v>24</v>
      </c>
      <c r="B7" s="4"/>
      <c r="C7" s="5">
        <v>2605000</v>
      </c>
      <c r="D7" s="5"/>
      <c r="E7" s="3">
        <f t="shared" si="0"/>
        <v>2605000</v>
      </c>
      <c r="F7" s="82">
        <v>0.97</v>
      </c>
      <c r="G7" s="83">
        <f t="shared" si="1"/>
        <v>2526850</v>
      </c>
    </row>
    <row r="8" spans="1:7" ht="35.1" customHeight="1" x14ac:dyDescent="0.25">
      <c r="A8" s="77" t="s">
        <v>25</v>
      </c>
      <c r="B8" s="4" t="s">
        <v>21</v>
      </c>
      <c r="C8" s="5">
        <v>2017104</v>
      </c>
      <c r="D8" s="5"/>
      <c r="E8" s="3">
        <f t="shared" si="0"/>
        <v>2017104</v>
      </c>
      <c r="F8" s="82">
        <v>0.97</v>
      </c>
      <c r="G8" s="83">
        <f t="shared" si="1"/>
        <v>1956590.88</v>
      </c>
    </row>
    <row r="9" spans="1:7" ht="35.1" customHeight="1" x14ac:dyDescent="0.25">
      <c r="A9" s="78" t="s">
        <v>26</v>
      </c>
      <c r="B9" s="8"/>
      <c r="C9" s="3"/>
      <c r="D9" s="3">
        <v>1050000</v>
      </c>
      <c r="E9" s="3">
        <f t="shared" si="0"/>
        <v>1050000</v>
      </c>
      <c r="F9" s="84">
        <v>0</v>
      </c>
      <c r="G9" s="83">
        <f t="shared" si="1"/>
        <v>0</v>
      </c>
    </row>
    <row r="10" spans="1:7" ht="35.1" customHeight="1" x14ac:dyDescent="0.25">
      <c r="A10" s="78" t="s">
        <v>452</v>
      </c>
      <c r="B10" s="8"/>
      <c r="C10" s="3"/>
      <c r="D10" s="3"/>
      <c r="E10" s="3">
        <v>1500000</v>
      </c>
      <c r="F10" s="84">
        <v>0.115</v>
      </c>
      <c r="G10" s="83">
        <f t="shared" si="1"/>
        <v>172500</v>
      </c>
    </row>
    <row r="11" spans="1:7" ht="35.1" customHeight="1" x14ac:dyDescent="0.25">
      <c r="A11" s="77" t="s">
        <v>27</v>
      </c>
      <c r="B11" s="9" t="s">
        <v>28</v>
      </c>
      <c r="C11" s="5">
        <v>2085000</v>
      </c>
      <c r="D11" s="5">
        <v>569000</v>
      </c>
      <c r="E11" s="3">
        <f t="shared" si="0"/>
        <v>2654000</v>
      </c>
      <c r="F11" s="82">
        <v>0.5</v>
      </c>
      <c r="G11" s="83">
        <f t="shared" si="1"/>
        <v>1327000</v>
      </c>
    </row>
    <row r="12" spans="1:7" ht="35.1" customHeight="1" x14ac:dyDescent="0.25">
      <c r="A12" s="77" t="s">
        <v>29</v>
      </c>
      <c r="B12" s="10">
        <v>2024</v>
      </c>
      <c r="C12" s="3">
        <v>413000</v>
      </c>
      <c r="D12" s="3"/>
      <c r="E12" s="3">
        <f t="shared" si="0"/>
        <v>413000</v>
      </c>
      <c r="F12" s="82">
        <v>0.5</v>
      </c>
      <c r="G12" s="83">
        <f t="shared" si="1"/>
        <v>206500</v>
      </c>
    </row>
    <row r="13" spans="1:7" x14ac:dyDescent="0.25">
      <c r="A13" s="77" t="s">
        <v>30</v>
      </c>
      <c r="B13" s="10"/>
      <c r="C13" s="3"/>
      <c r="D13" s="3"/>
      <c r="E13" s="3"/>
      <c r="F13" s="85"/>
      <c r="G13" s="86"/>
    </row>
    <row r="14" spans="1:7" ht="37.15" customHeight="1" x14ac:dyDescent="0.25">
      <c r="A14" s="77" t="s">
        <v>31</v>
      </c>
      <c r="B14" s="10"/>
      <c r="C14" s="3">
        <v>624000</v>
      </c>
      <c r="D14" s="3"/>
      <c r="E14" s="3">
        <f t="shared" ref="E14:E41" si="2">SUM(C14:D14)</f>
        <v>624000</v>
      </c>
      <c r="F14" s="85">
        <v>0.44510828976848393</v>
      </c>
      <c r="G14" s="83">
        <f t="shared" ref="G14:G24" si="3">IFERROR(F14*E14,0)</f>
        <v>277747.57281553396</v>
      </c>
    </row>
    <row r="15" spans="1:7" ht="33.6" customHeight="1" x14ac:dyDescent="0.25">
      <c r="A15" s="77" t="s">
        <v>32</v>
      </c>
      <c r="B15" s="10"/>
      <c r="C15" s="3"/>
      <c r="D15" s="3">
        <v>633000</v>
      </c>
      <c r="E15" s="3">
        <f t="shared" si="2"/>
        <v>633000</v>
      </c>
      <c r="F15" s="85">
        <v>0.76500577838565686</v>
      </c>
      <c r="G15" s="83">
        <f t="shared" si="3"/>
        <v>484248.65771812078</v>
      </c>
    </row>
    <row r="16" spans="1:7" ht="26.45" customHeight="1" x14ac:dyDescent="0.25">
      <c r="A16" s="77" t="s">
        <v>33</v>
      </c>
      <c r="B16" s="10"/>
      <c r="C16" s="3"/>
      <c r="D16" s="3">
        <v>6000</v>
      </c>
      <c r="E16" s="3">
        <f>SUM(C16:D16)</f>
        <v>6000</v>
      </c>
      <c r="F16" s="85">
        <v>0.44510828976848393</v>
      </c>
      <c r="G16" s="83">
        <f t="shared" si="3"/>
        <v>2670.6497386109036</v>
      </c>
    </row>
    <row r="17" spans="1:7" ht="37.9" customHeight="1" x14ac:dyDescent="0.25">
      <c r="A17" s="77" t="s">
        <v>34</v>
      </c>
      <c r="B17" s="10"/>
      <c r="C17" s="3"/>
      <c r="D17" s="3">
        <v>725000</v>
      </c>
      <c r="E17" s="3">
        <f t="shared" si="2"/>
        <v>725000</v>
      </c>
      <c r="F17" s="85">
        <v>0.7506711409395973</v>
      </c>
      <c r="G17" s="83">
        <f t="shared" si="3"/>
        <v>544236.57718120806</v>
      </c>
    </row>
    <row r="18" spans="1:7" ht="28.9" customHeight="1" x14ac:dyDescent="0.25">
      <c r="A18" s="77" t="s">
        <v>35</v>
      </c>
      <c r="B18" s="10">
        <v>16000</v>
      </c>
      <c r="C18" s="3"/>
      <c r="D18" s="3"/>
      <c r="E18" s="3">
        <f>SUM(B18:D18)</f>
        <v>16000</v>
      </c>
      <c r="F18" s="85">
        <v>0.44510828976848393</v>
      </c>
      <c r="G18" s="83">
        <f t="shared" si="3"/>
        <v>7121.7326362957429</v>
      </c>
    </row>
    <row r="19" spans="1:7" ht="24" x14ac:dyDescent="0.25">
      <c r="A19" s="77" t="s">
        <v>36</v>
      </c>
      <c r="B19" s="10">
        <v>329000</v>
      </c>
      <c r="C19" s="3"/>
      <c r="D19" s="3"/>
      <c r="E19" s="3">
        <f>SUM(B19:D19)</f>
        <v>329000</v>
      </c>
      <c r="F19" s="85">
        <v>0.7506711409395973</v>
      </c>
      <c r="G19" s="83">
        <f t="shared" si="3"/>
        <v>246970.80536912751</v>
      </c>
    </row>
    <row r="20" spans="1:7" ht="42.6" customHeight="1" x14ac:dyDescent="0.25">
      <c r="A20" s="77" t="s">
        <v>37</v>
      </c>
      <c r="B20" s="10"/>
      <c r="C20" s="3">
        <v>913000</v>
      </c>
      <c r="D20" s="3"/>
      <c r="E20" s="3">
        <f t="shared" si="2"/>
        <v>913000</v>
      </c>
      <c r="F20" s="85">
        <v>0.77115968449759986</v>
      </c>
      <c r="G20" s="83">
        <f t="shared" si="3"/>
        <v>704068.79194630869</v>
      </c>
    </row>
    <row r="21" spans="1:7" ht="28.15" customHeight="1" x14ac:dyDescent="0.25">
      <c r="A21" s="77" t="s">
        <v>38</v>
      </c>
      <c r="B21" s="10"/>
      <c r="C21" s="3"/>
      <c r="D21" s="3">
        <v>676000</v>
      </c>
      <c r="E21" s="3">
        <f t="shared" si="2"/>
        <v>676000</v>
      </c>
      <c r="F21" s="85">
        <v>0.7506711409395973</v>
      </c>
      <c r="G21" s="83">
        <f t="shared" si="3"/>
        <v>507453.6912751678</v>
      </c>
    </row>
    <row r="22" spans="1:7" ht="25.9" customHeight="1" x14ac:dyDescent="0.25">
      <c r="A22" s="77" t="s">
        <v>39</v>
      </c>
      <c r="B22" s="10"/>
      <c r="C22" s="3">
        <v>204000</v>
      </c>
      <c r="D22" s="3"/>
      <c r="E22" s="3">
        <f t="shared" si="2"/>
        <v>204000</v>
      </c>
      <c r="F22" s="85">
        <v>0.7506711409395973</v>
      </c>
      <c r="G22" s="83">
        <f t="shared" si="3"/>
        <v>153136.91275167785</v>
      </c>
    </row>
    <row r="23" spans="1:7" ht="34.15" customHeight="1" x14ac:dyDescent="0.25">
      <c r="A23" s="77" t="s">
        <v>40</v>
      </c>
      <c r="B23" s="10"/>
      <c r="C23" s="3">
        <v>58000</v>
      </c>
      <c r="D23" s="3"/>
      <c r="E23" s="3">
        <f t="shared" si="2"/>
        <v>58000</v>
      </c>
      <c r="F23" s="85">
        <v>0.44510828976848393</v>
      </c>
      <c r="G23" s="83">
        <f t="shared" si="3"/>
        <v>25816.280806572067</v>
      </c>
    </row>
    <row r="24" spans="1:7" ht="24" x14ac:dyDescent="0.25">
      <c r="A24" s="77" t="s">
        <v>41</v>
      </c>
      <c r="B24" s="10"/>
      <c r="C24" s="3"/>
      <c r="D24" s="3"/>
      <c r="E24" s="3">
        <f t="shared" si="2"/>
        <v>0</v>
      </c>
      <c r="F24" s="85">
        <v>0.44510828976848393</v>
      </c>
      <c r="G24" s="83">
        <f t="shared" si="3"/>
        <v>0</v>
      </c>
    </row>
    <row r="25" spans="1:7" x14ac:dyDescent="0.25">
      <c r="A25" s="77"/>
      <c r="B25" s="10"/>
      <c r="C25" s="3"/>
      <c r="D25" s="3"/>
      <c r="E25" s="3"/>
      <c r="F25" s="85"/>
      <c r="G25" s="83"/>
    </row>
    <row r="26" spans="1:7" ht="32.25" customHeight="1" x14ac:dyDescent="0.25">
      <c r="A26" s="77" t="s">
        <v>42</v>
      </c>
      <c r="B26" s="10"/>
      <c r="C26" s="3"/>
      <c r="D26" s="3">
        <v>963000</v>
      </c>
      <c r="E26" s="3">
        <f t="shared" si="2"/>
        <v>963000</v>
      </c>
      <c r="F26" s="85">
        <v>1</v>
      </c>
      <c r="G26" s="83">
        <f>IFERROR(F26*(E26),0)</f>
        <v>963000</v>
      </c>
    </row>
    <row r="27" spans="1:7" ht="35.1" customHeight="1" x14ac:dyDescent="0.25">
      <c r="A27" s="77" t="s">
        <v>43</v>
      </c>
      <c r="B27" s="10"/>
      <c r="C27" s="3"/>
      <c r="D27" s="3">
        <v>172000</v>
      </c>
      <c r="E27" s="3">
        <f t="shared" si="2"/>
        <v>172000</v>
      </c>
      <c r="F27" s="85">
        <v>0.44510828976848393</v>
      </c>
      <c r="G27" s="83">
        <f>IFERROR(F27*E27,0)</f>
        <v>76558.625840179244</v>
      </c>
    </row>
    <row r="28" spans="1:7" ht="35.1" customHeight="1" x14ac:dyDescent="0.25">
      <c r="A28" s="77" t="s">
        <v>44</v>
      </c>
      <c r="B28" s="10"/>
      <c r="C28" s="3"/>
      <c r="D28" s="3">
        <v>330000</v>
      </c>
      <c r="E28" s="3">
        <f t="shared" si="2"/>
        <v>330000</v>
      </c>
      <c r="F28" s="85">
        <v>0.7506711409395973</v>
      </c>
      <c r="G28" s="83">
        <f>IFERROR(F28*E28,0)</f>
        <v>247721.47651006712</v>
      </c>
    </row>
    <row r="29" spans="1:7" ht="35.1" customHeight="1" x14ac:dyDescent="0.25">
      <c r="A29" s="77" t="s">
        <v>45</v>
      </c>
      <c r="B29" s="10"/>
      <c r="C29" s="3"/>
      <c r="D29" s="3">
        <v>500000</v>
      </c>
      <c r="E29" s="3">
        <f t="shared" si="2"/>
        <v>500000</v>
      </c>
      <c r="F29" s="85">
        <f>G29/E29</f>
        <v>0.19323931292008961</v>
      </c>
      <c r="G29" s="83">
        <v>96619.656460044804</v>
      </c>
    </row>
    <row r="30" spans="1:7" ht="35.1" customHeight="1" x14ac:dyDescent="0.25">
      <c r="A30" s="77" t="s">
        <v>46</v>
      </c>
      <c r="B30" s="4"/>
      <c r="C30" s="5"/>
      <c r="D30" s="5">
        <v>721000</v>
      </c>
      <c r="E30" s="3">
        <f t="shared" si="2"/>
        <v>721000</v>
      </c>
      <c r="F30" s="85">
        <v>1</v>
      </c>
      <c r="G30" s="83">
        <f t="shared" ref="G30:G41" si="4">IFERROR(F30*E30,0)</f>
        <v>721000</v>
      </c>
    </row>
    <row r="31" spans="1:7" ht="35.1" customHeight="1" x14ac:dyDescent="0.25">
      <c r="A31" s="77" t="s">
        <v>47</v>
      </c>
      <c r="B31" s="11" t="s">
        <v>48</v>
      </c>
      <c r="C31" s="5"/>
      <c r="D31" s="5"/>
      <c r="E31" s="3">
        <f t="shared" si="2"/>
        <v>0</v>
      </c>
      <c r="F31" s="85">
        <v>0.97</v>
      </c>
      <c r="G31" s="83">
        <f t="shared" si="4"/>
        <v>0</v>
      </c>
    </row>
    <row r="32" spans="1:7" ht="22.5" customHeight="1" x14ac:dyDescent="0.25">
      <c r="A32" s="76" t="s">
        <v>49</v>
      </c>
      <c r="B32" s="10"/>
      <c r="C32" s="3">
        <v>568000</v>
      </c>
      <c r="D32" s="3"/>
      <c r="E32" s="3">
        <f t="shared" si="2"/>
        <v>568000</v>
      </c>
      <c r="F32" s="85">
        <v>0.1</v>
      </c>
      <c r="G32" s="83">
        <f t="shared" si="4"/>
        <v>56800</v>
      </c>
    </row>
    <row r="33" spans="1:7" ht="20.25" customHeight="1" x14ac:dyDescent="0.25">
      <c r="A33" s="76" t="s">
        <v>50</v>
      </c>
      <c r="C33" s="5"/>
      <c r="D33" s="5">
        <v>2886000</v>
      </c>
      <c r="E33" s="3">
        <f>SUM(C33:D33)</f>
        <v>2886000</v>
      </c>
      <c r="F33" s="85">
        <v>0.97</v>
      </c>
      <c r="G33" s="83">
        <f t="shared" si="4"/>
        <v>2799420</v>
      </c>
    </row>
    <row r="34" spans="1:7" ht="22.5" customHeight="1" x14ac:dyDescent="0.25">
      <c r="A34" s="76" t="s">
        <v>51</v>
      </c>
      <c r="B34" s="5"/>
      <c r="C34" s="5"/>
      <c r="D34" s="5">
        <v>3078000</v>
      </c>
      <c r="E34" s="3">
        <f t="shared" si="2"/>
        <v>3078000</v>
      </c>
      <c r="F34" s="85">
        <v>0.97</v>
      </c>
      <c r="G34" s="83">
        <f t="shared" si="4"/>
        <v>2985660</v>
      </c>
    </row>
    <row r="35" spans="1:7" ht="35.1" customHeight="1" x14ac:dyDescent="0.25">
      <c r="A35" s="77" t="s">
        <v>52</v>
      </c>
      <c r="B35" s="5"/>
      <c r="C35" s="5"/>
      <c r="D35" s="5">
        <v>2678000</v>
      </c>
      <c r="E35" s="3">
        <f t="shared" si="2"/>
        <v>2678000</v>
      </c>
      <c r="F35" s="85">
        <v>0.97</v>
      </c>
      <c r="G35" s="83">
        <f t="shared" si="4"/>
        <v>2597660</v>
      </c>
    </row>
    <row r="36" spans="1:7" x14ac:dyDescent="0.25">
      <c r="A36" s="76" t="s">
        <v>54</v>
      </c>
      <c r="B36" s="6"/>
      <c r="C36" s="5"/>
      <c r="D36" s="5">
        <v>150000</v>
      </c>
      <c r="E36" s="3">
        <f t="shared" si="2"/>
        <v>150000</v>
      </c>
      <c r="F36" s="82">
        <v>0.495</v>
      </c>
      <c r="G36" s="83">
        <f t="shared" si="4"/>
        <v>74250</v>
      </c>
    </row>
    <row r="37" spans="1:7" x14ac:dyDescent="0.25">
      <c r="A37" s="76" t="s">
        <v>55</v>
      </c>
      <c r="B37" s="6"/>
      <c r="C37" s="5"/>
      <c r="D37" s="5"/>
      <c r="E37" s="3">
        <v>300000</v>
      </c>
      <c r="F37" s="82">
        <v>0.495</v>
      </c>
      <c r="G37" s="83">
        <f t="shared" si="4"/>
        <v>148500</v>
      </c>
    </row>
    <row r="38" spans="1:7" x14ac:dyDescent="0.25">
      <c r="A38" s="76" t="s">
        <v>56</v>
      </c>
      <c r="B38" s="6"/>
      <c r="C38" s="5">
        <v>0</v>
      </c>
      <c r="D38" s="5"/>
      <c r="E38" s="3">
        <f t="shared" si="2"/>
        <v>0</v>
      </c>
      <c r="F38" s="85">
        <v>1</v>
      </c>
      <c r="G38" s="83">
        <f t="shared" si="4"/>
        <v>0</v>
      </c>
    </row>
    <row r="39" spans="1:7" x14ac:dyDescent="0.25">
      <c r="A39" s="76" t="s">
        <v>57</v>
      </c>
      <c r="B39" s="6"/>
      <c r="C39" s="5">
        <v>280000</v>
      </c>
      <c r="D39" s="5"/>
      <c r="E39" s="3">
        <f t="shared" si="2"/>
        <v>280000</v>
      </c>
      <c r="F39" s="82">
        <v>0.495</v>
      </c>
      <c r="G39" s="83">
        <f t="shared" si="4"/>
        <v>138600</v>
      </c>
    </row>
    <row r="40" spans="1:7" x14ac:dyDescent="0.25">
      <c r="A40" s="76" t="s">
        <v>58</v>
      </c>
      <c r="B40" s="3"/>
      <c r="C40" s="3"/>
      <c r="D40" s="3">
        <v>200000</v>
      </c>
      <c r="E40" s="3">
        <f t="shared" si="2"/>
        <v>200000</v>
      </c>
      <c r="F40" s="82">
        <v>0.495</v>
      </c>
      <c r="G40" s="83">
        <f t="shared" si="4"/>
        <v>99000</v>
      </c>
    </row>
    <row r="41" spans="1:7" x14ac:dyDescent="0.25">
      <c r="A41" s="76" t="s">
        <v>61</v>
      </c>
      <c r="B41" s="6" t="s">
        <v>53</v>
      </c>
      <c r="C41" s="5">
        <v>844145</v>
      </c>
      <c r="D41" s="5"/>
      <c r="E41" s="3">
        <f t="shared" si="2"/>
        <v>844145</v>
      </c>
      <c r="F41" s="85">
        <v>0.2</v>
      </c>
      <c r="G41" s="83">
        <f t="shared" si="4"/>
        <v>168829</v>
      </c>
    </row>
    <row r="42" spans="1:7" x14ac:dyDescent="0.25">
      <c r="A42" s="79" t="s">
        <v>62</v>
      </c>
      <c r="B42" s="7"/>
      <c r="C42" s="7"/>
      <c r="D42" s="7"/>
      <c r="E42" s="7">
        <f>SUM(E4:E41)</f>
        <v>58208249</v>
      </c>
      <c r="F42" s="87"/>
      <c r="G42" s="88">
        <f>SUM(G4:G41)</f>
        <v>35224056.31104891</v>
      </c>
    </row>
    <row r="43" spans="1:7" x14ac:dyDescent="0.25">
      <c r="A43" s="14" t="s">
        <v>59</v>
      </c>
      <c r="B43" s="3"/>
      <c r="C43" s="3"/>
      <c r="D43" s="3"/>
      <c r="E43" s="3"/>
      <c r="F43" s="85"/>
      <c r="G43" s="83"/>
    </row>
    <row r="44" spans="1:7" ht="24" x14ac:dyDescent="0.25">
      <c r="A44" s="77" t="s">
        <v>60</v>
      </c>
      <c r="B44" s="6"/>
      <c r="C44" s="5"/>
      <c r="D44" s="5">
        <v>2105000</v>
      </c>
      <c r="E44" s="3">
        <f>SUM(C44:D44)</f>
        <v>2105000</v>
      </c>
      <c r="F44" s="85">
        <v>1</v>
      </c>
      <c r="G44" s="83">
        <f>IFERROR(F44*E44,0)</f>
        <v>2105000</v>
      </c>
    </row>
    <row r="45" spans="1:7" x14ac:dyDescent="0.25">
      <c r="A45" s="76"/>
      <c r="B45" s="4"/>
      <c r="C45" s="5"/>
      <c r="D45" s="5"/>
      <c r="E45" s="3"/>
      <c r="F45" s="85"/>
      <c r="G45" s="86"/>
    </row>
    <row r="46" spans="1:7" x14ac:dyDescent="0.25">
      <c r="A46" s="79" t="s">
        <v>23</v>
      </c>
      <c r="B46" s="7"/>
      <c r="C46" s="7">
        <f>SUM(C43:C45)</f>
        <v>0</v>
      </c>
      <c r="D46" s="7">
        <f>SUM(D43:D45)</f>
        <v>2105000</v>
      </c>
      <c r="E46" s="7">
        <f>SUM(E43:E45)</f>
        <v>2105000</v>
      </c>
      <c r="F46" s="89"/>
      <c r="G46" s="7">
        <f>SUM(G43:G45)</f>
        <v>2105000</v>
      </c>
    </row>
    <row r="47" spans="1:7" x14ac:dyDescent="0.25">
      <c r="A47" s="80"/>
      <c r="B47" s="90"/>
      <c r="C47" s="90"/>
      <c r="D47" s="90"/>
      <c r="E47" s="91"/>
      <c r="F47" s="91"/>
      <c r="G47" s="90"/>
    </row>
    <row r="49" spans="1:8" x14ac:dyDescent="0.25">
      <c r="E49" s="73" t="s">
        <v>403</v>
      </c>
      <c r="G49" s="92">
        <v>0</v>
      </c>
      <c r="H49" s="12"/>
    </row>
    <row r="50" spans="1:8" x14ac:dyDescent="0.25">
      <c r="A50" s="73" t="s">
        <v>461</v>
      </c>
    </row>
    <row r="51" spans="1:8" x14ac:dyDescent="0.25">
      <c r="G51" s="93">
        <f>G42-G49</f>
        <v>35224056.31104891</v>
      </c>
    </row>
    <row r="53" spans="1:8" x14ac:dyDescent="0.25">
      <c r="A53" s="73" t="s">
        <v>457</v>
      </c>
      <c r="E53" s="94">
        <v>7000000</v>
      </c>
      <c r="F53" s="95">
        <v>0.495</v>
      </c>
      <c r="G53" s="94">
        <f>F53*E53</f>
        <v>3465000</v>
      </c>
    </row>
  </sheetData>
  <sheetProtection algorithmName="SHA-512" hashValue="HezS5SDsbjnAlkBh6p/pJyocYSUSGjfaQ9wcYFGaMCFofTDRf5t7Q21LmeGZnIRo1mv6+/I835nNAwJ2umWAAQ==" saltValue="DecsmE5VPmP1a5zIewtJ0g==" spinCount="100000" sheet="1" objects="1" scenarios="1"/>
  <printOptions horizontalCentered="1"/>
  <pageMargins left="0.7" right="0.7" top="0.75" bottom="0.75" header="0.3" footer="0.3"/>
  <pageSetup scale="70" fitToHeight="0" orientation="portrait" horizontalDpi="90" verticalDpi="90" r:id="rId1"/>
  <rowBreaks count="1" manualBreakCount="1">
    <brk id="4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SDC Per Meter Size</vt:lpstr>
      <vt:lpstr>Charge Analysis</vt:lpstr>
      <vt:lpstr>Planning Data</vt:lpstr>
      <vt:lpstr>Inventory of Current System</vt:lpstr>
      <vt:lpstr>CIP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Kaaren Hofmann</dc:creator>
  <cp:lastModifiedBy>Fatin Abdullah</cp:lastModifiedBy>
  <cp:lastPrinted>2025-05-14T19:15:52Z</cp:lastPrinted>
  <dcterms:created xsi:type="dcterms:W3CDTF">2022-12-30T21:37:12Z</dcterms:created>
  <dcterms:modified xsi:type="dcterms:W3CDTF">2025-05-14T19:16:04Z</dcterms:modified>
</cp:coreProperties>
</file>